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deabvba.sharepoint.com/sites/Marcom/Gedeelde documenten/0016 INDEA-tool/"/>
    </mc:Choice>
  </mc:AlternateContent>
  <xr:revisionPtr revIDLastSave="93" documentId="8_{0B47FE7D-E6B6-4ED6-813C-554F66EE7C2F}" xr6:coauthVersionLast="47" xr6:coauthVersionMax="47" xr10:uidLastSave="{EB7A8593-61E4-46CE-98B9-A1DED84C1ED9}"/>
  <bookViews>
    <workbookView xWindow="22932" yWindow="-108" windowWidth="41496" windowHeight="16896" xr2:uid="{00000000-000D-0000-FFFF-FFFF00000000}"/>
  </bookViews>
  <sheets>
    <sheet name="Indea - kostprijs 1 ton stoom" sheetId="2" r:id="rId1"/>
    <sheet name="stoomtabel" sheetId="3" r:id="rId2"/>
  </sheets>
  <externalReferences>
    <externalReference r:id="rId3"/>
  </externalReferences>
  <definedNames>
    <definedName name="_____________________fdn2" hidden="1">{"heading",#N/A,FALSE,"EX 4";"inhoud1",#N/A,FALSE,"EX 4"}</definedName>
    <definedName name="___________________fdn2" hidden="1">{"heading",#N/A,FALSE,"EX 4";"inhoud1",#N/A,FALSE,"EX 4"}</definedName>
    <definedName name="_________________fdn2" hidden="1">{"heading",#N/A,FALSE,"EX 4";"inhoud1",#N/A,FALSE,"EX 4"}</definedName>
    <definedName name="________________fdn2" hidden="1">{"heading",#N/A,FALSE,"EX 4";"inhoud1",#N/A,FALSE,"EX 4"}</definedName>
    <definedName name="_______________fdn2" hidden="1">{"heading",#N/A,FALSE,"EX 4";"inhoud1",#N/A,FALSE,"EX 4"}</definedName>
    <definedName name="______________fdn2" hidden="1">{"heading",#N/A,FALSE,"EX 4";"inhoud1",#N/A,FALSE,"EX 4"}</definedName>
    <definedName name="_____________fdn2" hidden="1">{"heading",#N/A,FALSE,"EX 4";"inhoud1",#N/A,FALSE,"EX 4"}</definedName>
    <definedName name="____________fdn2" hidden="1">{"heading",#N/A,FALSE,"EX 4";"inhoud1",#N/A,FALSE,"EX 4"}</definedName>
    <definedName name="___________fdn2" hidden="1">{"heading",#N/A,FALSE,"EX 4";"inhoud1",#N/A,FALSE,"EX 4"}</definedName>
    <definedName name="__________fdn2" hidden="1">{"heading",#N/A,FALSE,"EX 4";"inhoud1",#N/A,FALSE,"EX 4"}</definedName>
    <definedName name="_________fdn2" hidden="1">{"heading",#N/A,FALSE,"EX 4";"inhoud1",#N/A,FALSE,"EX 4"}</definedName>
    <definedName name="________fdn2" hidden="1">{"heading",#N/A,FALSE,"EX 4";"inhoud1",#N/A,FALSE,"EX 4"}</definedName>
    <definedName name="_______fdn2" hidden="1">{"heading",#N/A,FALSE,"EX 4";"inhoud1",#N/A,FALSE,"EX 4"}</definedName>
    <definedName name="______fdn2" hidden="1">{"heading",#N/A,FALSE,"EX 4";"inhoud1",#N/A,FALSE,"EX 4"}</definedName>
    <definedName name="_____fdn2" hidden="1">{"heading",#N/A,FALSE,"EX 4";"inhoud1",#N/A,FALSE,"EX 4"}</definedName>
    <definedName name="____fdn2" hidden="1">{"heading",#N/A,FALSE,"EX 4";"inhoud1",#N/A,FALSE,"EX 4"}</definedName>
    <definedName name="___fdn2" hidden="1">{"heading",#N/A,FALSE,"EX 4";"inhoud1",#N/A,FALSE,"EX 4"}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_fdn2" hidden="1">{"heading",#N/A,FALSE,"EX 4";"inhoud1",#N/A,FALSE,"EX 4"}</definedName>
    <definedName name="__xlfn.BAHTTEXT" hidden="1">#NAME?</definedName>
    <definedName name="_fdn2" hidden="1">{"heading",#N/A,FALSE,"EX 4";"inhoud1",#N/A,FALSE,"EX 4"}</definedName>
    <definedName name="_Key1" hidden="1">'[1]Unfälle 2003'!#REF!</definedName>
    <definedName name="_Key2" hidden="1">'[1]Unfälle 2003'!#REF!</definedName>
    <definedName name="_Order1" hidden="1">255</definedName>
    <definedName name="_Order2" hidden="1">255</definedName>
    <definedName name="_Sort" hidden="1">'[1]Unfälle 2003'!#REF!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 hidden="1">#REF!</definedName>
    <definedName name="Access_Button" hidden="1">"calculation_alternative_EX_4_List"</definedName>
    <definedName name="Access_Button1" hidden="1">"calculation_alternative_EX_4_List"</definedName>
    <definedName name="AccessDatabase" hidden="1">"C:\My Documents\contract calculation\calculation alternative.mdb"</definedName>
    <definedName name="_xlnm.Print_Area" localSheetId="0">'Indea - kostprijs 1 ton stoom'!$B$1:$D$184</definedName>
    <definedName name="_xlnm.Print_Area" localSheetId="1">stoomtabel!$A$1:$K$65</definedName>
    <definedName name="Afdrukbereik_MI" localSheetId="0">'Indea - kostprijs 1 ton stoom'!$B$2:$D$107</definedName>
    <definedName name="_xlnm.Print_Titles" localSheetId="1">stoomtabel!$B:$H</definedName>
    <definedName name="fdn" hidden="1">{"heading",#N/A,FALSE,"EX 4";"inhoud1",#N/A,FALSE,"EX 4"}</definedName>
    <definedName name="jhg" hidden="1">#REF!</definedName>
    <definedName name="sheet_active">"$C$1"</definedName>
    <definedName name="stoomtabel">stoomtabel!$B$7:$K$65</definedName>
    <definedName name="wrn.blad1." hidden="1">{"heading",#N/A,FALSE,"EX 4";"inhoud1",#N/A,FALSE,"EX 4"}</definedName>
    <definedName name="wrn.blad1.2" hidden="1">{"heading",#N/A,FALSE,"EX 4";"inhoud1",#N/A,FALSE,"EX 4"}</definedName>
    <definedName name="wrn.blad2." hidden="1">{"heading",#N/A,FALSE,"EX 4";"inhoud2",#N/A,FALSE,"EX 4"}</definedName>
    <definedName name="wrn.blad2.2" hidden="1">{"heading",#N/A,FALSE,"EX 4";"inhoud2",#N/A,FALSE,"EX 4"}</definedName>
    <definedName name="wrn.complete._.print." hidden="1">{#N/A,#N/A,TRUE,"Titel";#N/A,#N/A,TRUE,"Inhoud";#N/A,#N/A,TRUE,"Model";#N/A,#N/A,TRUE,"INVESTERINGEN EN AFSCHRIJVINGEN";#N/A,#N/A,TRUE,"Omzet en afvoer";#N/A,#N/A,TRUE,"Bedrijfskosten";#N/A,#N/A,TRUE,"Parameters"}</definedName>
    <definedName name="wrn.test." hidden="1">{#N/A,#N/A,FALSE,"EX 4"}</definedName>
    <definedName name="wrn.test.2" hidden="1">{#N/A,#N/A,FALSE,"EX 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9" i="2" l="1"/>
  <c r="B117" i="2"/>
  <c r="B115" i="2"/>
  <c r="B113" i="2"/>
  <c r="B112" i="2"/>
  <c r="C17" i="2" l="1"/>
  <c r="C92" i="2"/>
  <c r="C119" i="2" s="1"/>
  <c r="C33" i="2"/>
  <c r="C31" i="2"/>
  <c r="C32" i="2"/>
  <c r="C30" i="2"/>
  <c r="C69" i="2" s="1"/>
  <c r="C104" i="2"/>
  <c r="C115" i="2" s="1"/>
  <c r="C28" i="2"/>
  <c r="C77" i="2"/>
  <c r="C102" i="2"/>
  <c r="C118" i="2" s="1"/>
  <c r="G7" i="3"/>
  <c r="H7" i="3"/>
  <c r="I7" i="3"/>
  <c r="D8" i="3"/>
  <c r="G8" i="3"/>
  <c r="E8" i="3"/>
  <c r="H8" i="3"/>
  <c r="F8" i="3"/>
  <c r="I8" i="3"/>
  <c r="G9" i="3"/>
  <c r="H9" i="3"/>
  <c r="I9" i="3"/>
  <c r="G10" i="3"/>
  <c r="H10" i="3"/>
  <c r="I10" i="3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38" i="3"/>
  <c r="H38" i="3"/>
  <c r="I38" i="3"/>
  <c r="G39" i="3"/>
  <c r="H39" i="3"/>
  <c r="I39" i="3"/>
  <c r="G40" i="3"/>
  <c r="H40" i="3"/>
  <c r="I40" i="3"/>
  <c r="G41" i="3"/>
  <c r="H41" i="3"/>
  <c r="I41" i="3"/>
  <c r="G42" i="3"/>
  <c r="H42" i="3"/>
  <c r="I42" i="3"/>
  <c r="G43" i="3"/>
  <c r="H43" i="3"/>
  <c r="I43" i="3"/>
  <c r="G44" i="3"/>
  <c r="H44" i="3"/>
  <c r="I44" i="3"/>
  <c r="G45" i="3"/>
  <c r="H45" i="3"/>
  <c r="I45" i="3"/>
  <c r="G46" i="3"/>
  <c r="H46" i="3"/>
  <c r="I46" i="3"/>
  <c r="G47" i="3"/>
  <c r="H47" i="3"/>
  <c r="I47" i="3"/>
  <c r="G48" i="3"/>
  <c r="H48" i="3"/>
  <c r="I48" i="3"/>
  <c r="G49" i="3"/>
  <c r="H49" i="3"/>
  <c r="I49" i="3"/>
  <c r="G50" i="3"/>
  <c r="H50" i="3"/>
  <c r="I50" i="3"/>
  <c r="G51" i="3"/>
  <c r="H51" i="3"/>
  <c r="I51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57" i="3"/>
  <c r="H57" i="3"/>
  <c r="I57" i="3"/>
  <c r="G58" i="3"/>
  <c r="H58" i="3"/>
  <c r="I58" i="3"/>
  <c r="G59" i="3"/>
  <c r="H59" i="3"/>
  <c r="I59" i="3"/>
  <c r="G60" i="3"/>
  <c r="H60" i="3"/>
  <c r="I60" i="3"/>
  <c r="G61" i="3"/>
  <c r="H61" i="3"/>
  <c r="I61" i="3"/>
  <c r="G62" i="3"/>
  <c r="H62" i="3"/>
  <c r="I62" i="3"/>
  <c r="G63" i="3"/>
  <c r="H63" i="3"/>
  <c r="I63" i="3"/>
  <c r="G64" i="3"/>
  <c r="H64" i="3"/>
  <c r="I64" i="3"/>
  <c r="G65" i="3"/>
  <c r="H65" i="3"/>
  <c r="I65" i="3"/>
  <c r="C70" i="2" l="1"/>
  <c r="C71" i="2"/>
  <c r="C86" i="2"/>
  <c r="C98" i="2" s="1"/>
  <c r="C117" i="2" s="1"/>
  <c r="C78" i="2"/>
  <c r="C73" i="2" l="1"/>
  <c r="C94" i="2" s="1"/>
  <c r="C113" i="2" s="1"/>
  <c r="C99" i="2"/>
  <c r="C80" i="2"/>
  <c r="C93" i="2" l="1"/>
  <c r="C112" i="2" s="1"/>
  <c r="C84" i="2"/>
  <c r="C97" i="2" s="1"/>
  <c r="C95" i="2"/>
  <c r="C114" i="2" s="1"/>
  <c r="C82" i="2"/>
  <c r="C96" i="2" s="1"/>
  <c r="C116" i="2" l="1"/>
  <c r="C100" i="2"/>
  <c r="C107" i="2" s="1"/>
  <c r="G156" i="2" l="1"/>
</calcChain>
</file>

<file path=xl/sharedStrings.xml><?xml version="1.0" encoding="utf-8"?>
<sst xmlns="http://schemas.openxmlformats.org/spreadsheetml/2006/main" count="162" uniqueCount="117">
  <si>
    <t>kW</t>
  </si>
  <si>
    <t>€</t>
  </si>
  <si>
    <t>Stoom werkdruk</t>
  </si>
  <si>
    <t>jaar</t>
  </si>
  <si>
    <t>%</t>
  </si>
  <si>
    <t>€/MWh</t>
  </si>
  <si>
    <t>Prijs elektriciteit</t>
  </si>
  <si>
    <t>Temperatuur suppletiewater</t>
  </si>
  <si>
    <t>°C</t>
  </si>
  <si>
    <t>€/m³</t>
  </si>
  <si>
    <t>Prijs afvalwater</t>
  </si>
  <si>
    <t>€/kg</t>
  </si>
  <si>
    <t>kJ/kg</t>
  </si>
  <si>
    <t>Temperatuur voedingswater</t>
  </si>
  <si>
    <t>microS/cm</t>
  </si>
  <si>
    <t>Verbruik van chemische producten</t>
  </si>
  <si>
    <t>g</t>
  </si>
  <si>
    <t xml:space="preserve"> °D</t>
  </si>
  <si>
    <t>l</t>
  </si>
  <si>
    <t>kWh</t>
  </si>
  <si>
    <t xml:space="preserve"> Opstartkosten ketels</t>
  </si>
  <si>
    <t xml:space="preserve"> Kost afvalwater</t>
  </si>
  <si>
    <t xml:space="preserve">    </t>
  </si>
  <si>
    <t xml:space="preserve">  </t>
  </si>
  <si>
    <t xml:space="preserve"> </t>
  </si>
  <si>
    <t>STOOMTABEL  VERZADIGDE  STOOM</t>
  </si>
  <si>
    <t xml:space="preserve"> enth. in kJ</t>
  </si>
  <si>
    <t>enth. in kcal</t>
  </si>
  <si>
    <t>valerie.degroote@indea.be</t>
  </si>
  <si>
    <t>M: 0479 / 239 009</t>
  </si>
  <si>
    <t>Geïnstalleerd vermogen</t>
  </si>
  <si>
    <t>Aantal werkuren per jaar</t>
  </si>
  <si>
    <t>Gemiddelde stoomproductie</t>
  </si>
  <si>
    <t>Geïnstalleerd elektrisch vermogen</t>
  </si>
  <si>
    <t>Prijs van compleet ketelhuis</t>
  </si>
  <si>
    <t>Enthalpie van de stoom</t>
  </si>
  <si>
    <t>Enthalpie suppletiewater</t>
  </si>
  <si>
    <t>Enthalpie voedingswater</t>
  </si>
  <si>
    <t>Enthalpie  verzadigd water</t>
  </si>
  <si>
    <t xml:space="preserve">Prijs aardgas                   </t>
  </si>
  <si>
    <t>Prijs water</t>
  </si>
  <si>
    <t>Prijs chemische producten</t>
  </si>
  <si>
    <t>Prijs zout voor ontharder</t>
  </si>
  <si>
    <t>Rendement bij gemiddelde belasting</t>
  </si>
  <si>
    <t>Jaarlijkse onderhoudskost tov investering</t>
  </si>
  <si>
    <t>Verbruik van zouten</t>
  </si>
  <si>
    <t>Aantal starts per jaar</t>
  </si>
  <si>
    <t xml:space="preserve"> Kost water</t>
  </si>
  <si>
    <t xml:space="preserve"> Kost chemische producten</t>
  </si>
  <si>
    <t xml:space="preserve"> Kost zouten</t>
  </si>
  <si>
    <t xml:space="preserve"> Kost elektriciteit</t>
  </si>
  <si>
    <t xml:space="preserve"> Onderhoudskosten</t>
  </si>
  <si>
    <t xml:space="preserve"> TOTAAL</t>
  </si>
  <si>
    <t>Geleidbaarheid van suppletiewater</t>
  </si>
  <si>
    <t>Geleidbaarheid van ketelwater</t>
  </si>
  <si>
    <t>Hoeveelheid verloren stoom</t>
  </si>
  <si>
    <t>Gegevens - Technisch</t>
  </si>
  <si>
    <t>Gegevens - Financieel</t>
  </si>
  <si>
    <t>Gegevens - Onderhoud</t>
  </si>
  <si>
    <t>Gegevens - Waterbehandeling</t>
  </si>
  <si>
    <t>Verbruik van chemische producten per 1000 l suppletiewater</t>
  </si>
  <si>
    <t>Hardheid van het water</t>
  </si>
  <si>
    <t>g/m3.°D</t>
  </si>
  <si>
    <t>- voor stoomproductie</t>
  </si>
  <si>
    <t>- voor opwarming suppletiewater</t>
  </si>
  <si>
    <t>- voor compensatie spuiverliezen</t>
  </si>
  <si>
    <t>TOTAAL brandstofverbruik</t>
  </si>
  <si>
    <t>Waterverbruik</t>
  </si>
  <si>
    <t>- voor compensatie verloren stoom</t>
  </si>
  <si>
    <t>TOTAAL waterverbruik</t>
  </si>
  <si>
    <t>Elektrisch verbruik (voedingspomp - ventilator)</t>
  </si>
  <si>
    <t>Gegevens</t>
  </si>
  <si>
    <t>Kost voor productie van 1 ton stoom</t>
  </si>
  <si>
    <t xml:space="preserve"> Afschrijving van de investering (15 jaar)</t>
  </si>
  <si>
    <t>www.indea.be</t>
  </si>
  <si>
    <t>ton/h</t>
  </si>
  <si>
    <t>Behoeften voor productie van 1 ton stoom</t>
  </si>
  <si>
    <t>Afschrijvingstermijn</t>
  </si>
  <si>
    <t>h/jaar</t>
  </si>
  <si>
    <t>bar (g)</t>
  </si>
  <si>
    <t>bar g</t>
  </si>
  <si>
    <t>kcal/kg</t>
  </si>
  <si>
    <t xml:space="preserve">   spec. volume </t>
  </si>
  <si>
    <t>m3/kg</t>
  </si>
  <si>
    <t>stoom</t>
  </si>
  <si>
    <t>water</t>
  </si>
  <si>
    <t>totaal</t>
  </si>
  <si>
    <t>verdamp</t>
  </si>
  <si>
    <t>temp</t>
  </si>
  <si>
    <t>druk</t>
  </si>
  <si>
    <t xml:space="preserve"> Marginale kost per ton</t>
  </si>
  <si>
    <t>Spui t.o.v. de stoomproductie</t>
  </si>
  <si>
    <t>Spaarzaamheidstraat 2A</t>
  </si>
  <si>
    <t>9300 Aalst</t>
  </si>
  <si>
    <t>Aardgasverbruik</t>
  </si>
  <si>
    <t>kWh_cbw</t>
  </si>
  <si>
    <t xml:space="preserve"> Kost aardgas</t>
  </si>
  <si>
    <t>Indea BV</t>
  </si>
  <si>
    <t>Prijs CO2</t>
  </si>
  <si>
    <t>€/ton</t>
  </si>
  <si>
    <r>
      <t xml:space="preserve"> Kost CO</t>
    </r>
    <r>
      <rPr>
        <vertAlign val="subscript"/>
        <sz val="10"/>
        <rFont val="Calibri"/>
        <family val="2"/>
        <scheme val="minor"/>
      </rPr>
      <t>2</t>
    </r>
  </si>
  <si>
    <t xml:space="preserve"> Kost waterbehandeling</t>
  </si>
  <si>
    <t xml:space="preserve"> Kost water + afvalwater</t>
  </si>
  <si>
    <t>NG</t>
  </si>
  <si>
    <t>CO2</t>
  </si>
  <si>
    <t>CO2 - 50 EUR/ton</t>
  </si>
  <si>
    <t>CO2 - 60 EUR/ton</t>
  </si>
  <si>
    <t>CO2 - 70 EUR/ton</t>
  </si>
  <si>
    <t>CO2 - 80 EUR/ton</t>
  </si>
  <si>
    <t>CO2 - 90 EUR/ton</t>
  </si>
  <si>
    <t>CO2 - 100 EUR/ton</t>
  </si>
  <si>
    <t>CO2 - 110 EUR/ton</t>
  </si>
  <si>
    <t>CO2 - 120 EUR/ton</t>
  </si>
  <si>
    <t>CO2 - 130 EUR/ton</t>
  </si>
  <si>
    <t>CO2 - 140 EUR/ton</t>
  </si>
  <si>
    <t>CO2 - 150 EUR/ton</t>
  </si>
  <si>
    <t>Productiekost van 1 ton stoom - Aardgas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</si>
</sst>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0.0_)"/>
    <numFmt numFmtId="166" formatCode="0.00_)"/>
    <numFmt numFmtId="167" formatCode="0.000_)"/>
    <numFmt numFmtId="168" formatCode="0.0000_)"/>
    <numFmt numFmtId="169" formatCode="0.000000_)"/>
    <numFmt numFmtId="170" formatCode="_-* #,##0.00\ [$€]_-;\-* #,##0.00\ [$€]_-;_-* &quot;-&quot;??\ [$€]_-;_-@_-"/>
    <numFmt numFmtId="171" formatCode="0_)"/>
    <numFmt numFmtId="172" formatCode="_-* #,##0.0\ _€_-;\-* #,##0.0\ _€_-;_-* &quot;-&quot;??\ _€_-;_-@_-"/>
    <numFmt numFmtId="173" formatCode="_-* #,##0\ _€_-;\-* #,##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Helv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vertAlign val="sub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</borders>
  <cellStyleXfs count="9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/>
    <xf numFmtId="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173" fontId="4" fillId="3" borderId="0" xfId="3" applyNumberFormat="1" applyFont="1" applyFill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/>
    </xf>
    <xf numFmtId="164" fontId="4" fillId="3" borderId="0" xfId="3" applyFont="1" applyFill="1" applyBorder="1" applyProtection="1">
      <protection locked="0"/>
    </xf>
    <xf numFmtId="164" fontId="4" fillId="0" borderId="0" xfId="3" applyFont="1" applyBorder="1" applyProtection="1"/>
    <xf numFmtId="173" fontId="4" fillId="0" borderId="0" xfId="3" applyNumberFormat="1" applyFont="1" applyBorder="1" applyProtection="1">
      <protection locked="0"/>
    </xf>
    <xf numFmtId="173" fontId="4" fillId="0" borderId="0" xfId="3" applyNumberFormat="1" applyFont="1" applyFill="1" applyBorder="1" applyProtection="1">
      <protection locked="0"/>
    </xf>
    <xf numFmtId="37" fontId="4" fillId="0" borderId="0" xfId="0" applyNumberFormat="1" applyFont="1" applyBorder="1" applyProtection="1">
      <protection locked="0"/>
    </xf>
    <xf numFmtId="37" fontId="4" fillId="0" borderId="0" xfId="0" applyNumberFormat="1" applyFont="1" applyFill="1" applyBorder="1" applyAlignment="1" applyProtection="1">
      <alignment horizontal="center"/>
    </xf>
    <xf numFmtId="172" fontId="4" fillId="3" borderId="0" xfId="3" applyNumberFormat="1" applyFont="1" applyFill="1" applyBorder="1" applyProtection="1">
      <protection locked="0"/>
    </xf>
    <xf numFmtId="0" fontId="4" fillId="0" borderId="0" xfId="0" quotePrefix="1" applyFont="1" applyBorder="1"/>
    <xf numFmtId="166" fontId="4" fillId="0" borderId="0" xfId="0" applyNumberFormat="1" applyFont="1" applyBorder="1" applyAlignment="1" applyProtection="1">
      <alignment horizontal="center"/>
    </xf>
    <xf numFmtId="0" fontId="5" fillId="0" borderId="0" xfId="0" applyFont="1" applyFill="1" applyBorder="1"/>
    <xf numFmtId="164" fontId="5" fillId="0" borderId="0" xfId="3" applyFont="1" applyBorder="1" applyProtection="1"/>
    <xf numFmtId="166" fontId="5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Border="1" applyProtection="1"/>
    <xf numFmtId="173" fontId="4" fillId="0" borderId="0" xfId="3" applyNumberFormat="1" applyFont="1" applyFill="1" applyBorder="1" applyProtection="1"/>
    <xf numFmtId="173" fontId="4" fillId="0" borderId="0" xfId="3" applyNumberFormat="1" applyFont="1" applyBorder="1" applyProtection="1"/>
    <xf numFmtId="171" fontId="4" fillId="0" borderId="0" xfId="0" applyNumberFormat="1" applyFont="1" applyBorder="1" applyAlignment="1" applyProtection="1">
      <alignment horizontal="center"/>
    </xf>
    <xf numFmtId="171" fontId="4" fillId="0" borderId="0" xfId="0" applyNumberFormat="1" applyFont="1" applyBorder="1" applyProtection="1"/>
    <xf numFmtId="173" fontId="5" fillId="0" borderId="0" xfId="3" applyNumberFormat="1" applyFont="1" applyBorder="1" applyProtection="1"/>
    <xf numFmtId="171" fontId="5" fillId="0" borderId="0" xfId="0" applyNumberFormat="1" applyFont="1" applyBorder="1" applyAlignment="1" applyProtection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4" fillId="0" borderId="0" xfId="3" applyFont="1" applyFill="1" applyBorder="1" applyProtection="1"/>
    <xf numFmtId="0" fontId="5" fillId="0" borderId="5" xfId="0" applyFont="1" applyBorder="1" applyAlignment="1">
      <alignment horizontal="center"/>
    </xf>
    <xf numFmtId="165" fontId="4" fillId="0" borderId="5" xfId="0" applyNumberFormat="1" applyFont="1" applyBorder="1" applyAlignment="1" applyProtection="1">
      <alignment horizontal="center"/>
    </xf>
    <xf numFmtId="165" fontId="5" fillId="0" borderId="5" xfId="0" applyNumberFormat="1" applyFont="1" applyBorder="1" applyAlignment="1" applyProtection="1">
      <alignment horizontal="center"/>
    </xf>
    <xf numFmtId="0" fontId="5" fillId="0" borderId="4" xfId="0" applyFont="1" applyBorder="1"/>
    <xf numFmtId="164" fontId="5" fillId="0" borderId="0" xfId="3" applyFont="1" applyFill="1" applyBorder="1" applyProtection="1"/>
    <xf numFmtId="165" fontId="4" fillId="0" borderId="0" xfId="0" applyNumberFormat="1" applyFont="1" applyBorder="1" applyProtection="1"/>
    <xf numFmtId="165" fontId="4" fillId="0" borderId="2" xfId="0" applyNumberFormat="1" applyFont="1" applyBorder="1" applyProtection="1"/>
    <xf numFmtId="165" fontId="4" fillId="0" borderId="3" xfId="0" applyNumberFormat="1" applyFont="1" applyBorder="1" applyAlignment="1" applyProtection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6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4" fillId="0" borderId="0" xfId="4" applyFont="1" applyProtection="1"/>
    <xf numFmtId="0" fontId="4" fillId="0" borderId="0" xfId="4" applyFont="1" applyAlignment="1" applyProtection="1">
      <alignment horizontal="center"/>
    </xf>
    <xf numFmtId="0" fontId="11" fillId="0" borderId="0" xfId="4" applyFont="1" applyAlignment="1" applyProtection="1">
      <alignment horizontal="center"/>
    </xf>
    <xf numFmtId="165" fontId="4" fillId="0" borderId="0" xfId="4" applyNumberFormat="1" applyFont="1" applyAlignment="1" applyProtection="1">
      <alignment horizontal="left"/>
    </xf>
    <xf numFmtId="166" fontId="4" fillId="0" borderId="0" xfId="4" applyNumberFormat="1" applyFont="1" applyProtection="1"/>
    <xf numFmtId="165" fontId="4" fillId="0" borderId="0" xfId="4" applyNumberFormat="1" applyFont="1" applyProtection="1"/>
    <xf numFmtId="169" fontId="4" fillId="0" borderId="0" xfId="4" applyNumberFormat="1" applyFont="1" applyProtection="1"/>
    <xf numFmtId="168" fontId="4" fillId="0" borderId="0" xfId="4" applyNumberFormat="1" applyFont="1" applyProtection="1"/>
    <xf numFmtId="0" fontId="4" fillId="0" borderId="0" xfId="4" applyFont="1" applyAlignment="1" applyProtection="1">
      <alignment horizontal="left"/>
    </xf>
    <xf numFmtId="0" fontId="4" fillId="0" borderId="0" xfId="4" applyFont="1" applyAlignment="1">
      <alignment horizontal="left"/>
    </xf>
    <xf numFmtId="0" fontId="4" fillId="0" borderId="0" xfId="4" applyFont="1"/>
    <xf numFmtId="167" fontId="4" fillId="0" borderId="0" xfId="4" applyNumberFormat="1" applyFont="1" applyProtection="1"/>
    <xf numFmtId="1" fontId="4" fillId="0" borderId="0" xfId="0" applyNumberFormat="1" applyFont="1" applyBorder="1"/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0" borderId="0" xfId="4" applyFont="1" applyAlignment="1" applyProtection="1">
      <alignment horizontal="center"/>
    </xf>
    <xf numFmtId="0" fontId="10" fillId="0" borderId="0" xfId="4" applyFont="1" applyAlignment="1" applyProtection="1">
      <alignment horizontal="center"/>
    </xf>
  </cellXfs>
  <cellStyles count="9">
    <cellStyle name="Euro" xfId="1" xr:uid="{00000000-0005-0000-0000-000000000000}"/>
    <cellStyle name="Hyperlink" xfId="2" builtinId="8"/>
    <cellStyle name="Komma" xfId="3" builtinId="3"/>
    <cellStyle name="Komma 2 10 2" xfId="7" xr:uid="{4BF6FDE1-DA6F-495F-AD2A-FC77563142DF}"/>
    <cellStyle name="Normal_Template ENERGIEPLAN VAV" xfId="5" xr:uid="{82B123C9-C595-4ACB-B7FF-C5CB7FA9B998}"/>
    <cellStyle name="Procent 2" xfId="8" xr:uid="{1564790B-3C11-4F45-A621-AB826034617C}"/>
    <cellStyle name="Standaard" xfId="0" builtinId="0"/>
    <cellStyle name="Standaard 10" xfId="6" xr:uid="{6990E8B4-783C-45F6-B6E5-87FC9943625E}"/>
    <cellStyle name="Standaard_BEREKENING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Verdeling kost voor</a:t>
            </a:r>
            <a:r>
              <a:rPr lang="nl-BE" baseline="0"/>
              <a:t> productie van 1 ton stoom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91810869907729"/>
          <c:y val="0.23871625143171016"/>
          <c:w val="0.56021258689662323"/>
          <c:h val="0.475361789645497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2E-457C-97D8-C4C8F9393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02E-457C-97D8-C4C8F9393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02E-457C-97D8-C4C8F93932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2E-457C-97D8-C4C8F93932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2E-457C-97D8-C4C8F93932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02E-457C-97D8-C4C8F93932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2E-457C-97D8-C4C8F93932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602E-457C-97D8-C4C8F93932FA}"/>
              </c:ext>
            </c:extLst>
          </c:dPt>
          <c:dLbls>
            <c:dLbl>
              <c:idx val="0"/>
              <c:layout>
                <c:manualLayout>
                  <c:x val="0.17017042390249165"/>
                  <c:y val="1.0875691668149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E-457C-97D8-C4C8F93932FA}"/>
                </c:ext>
              </c:extLst>
            </c:dLbl>
            <c:dLbl>
              <c:idx val="1"/>
              <c:layout>
                <c:manualLayout>
                  <c:x val="0.14870591781928194"/>
                  <c:y val="2.359302292920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2E-457C-97D8-C4C8F93932FA}"/>
                </c:ext>
              </c:extLst>
            </c:dLbl>
            <c:dLbl>
              <c:idx val="2"/>
              <c:layout>
                <c:manualLayout>
                  <c:x val="0.15693892452063085"/>
                  <c:y val="0.187805106406883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2E-457C-97D8-C4C8F93932FA}"/>
                </c:ext>
              </c:extLst>
            </c:dLbl>
            <c:dLbl>
              <c:idx val="3"/>
              <c:layout>
                <c:manualLayout>
                  <c:x val="-9.0341124377366452E-2"/>
                  <c:y val="0.20267242159533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2E-457C-97D8-C4C8F93932FA}"/>
                </c:ext>
              </c:extLst>
            </c:dLbl>
            <c:dLbl>
              <c:idx val="4"/>
              <c:layout>
                <c:manualLayout>
                  <c:x val="-0.17621013485846238"/>
                  <c:y val="3.55869309439767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2E-457C-97D8-C4C8F93932FA}"/>
                </c:ext>
              </c:extLst>
            </c:dLbl>
            <c:dLbl>
              <c:idx val="5"/>
              <c:layout>
                <c:manualLayout>
                  <c:x val="-0.1293863340288906"/>
                  <c:y val="-0.105658180955680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2E-457C-97D8-C4C8F93932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2E-457C-97D8-C4C8F93932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2E-457C-97D8-C4C8F93932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2E-457C-97D8-C4C8F93932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2E-457C-97D8-C4C8F9393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'Indea - kostprijs 1 ton stoom'!$B$112:$B$119</c:f>
              <c:strCache>
                <c:ptCount val="8"/>
                <c:pt idx="0">
                  <c:v> Kost aardgas</c:v>
                </c:pt>
                <c:pt idx="1">
                  <c:v> Kost CO2</c:v>
                </c:pt>
                <c:pt idx="2">
                  <c:v> Kost water + afvalwater</c:v>
                </c:pt>
                <c:pt idx="3">
                  <c:v> Afschrijving van de investering (15 jaar)</c:v>
                </c:pt>
                <c:pt idx="4">
                  <c:v> Kost waterbehandeling</c:v>
                </c:pt>
                <c:pt idx="5">
                  <c:v> Kost elektriciteit</c:v>
                </c:pt>
                <c:pt idx="6">
                  <c:v> Onderhoudskosten</c:v>
                </c:pt>
                <c:pt idx="7">
                  <c:v> Opstartkosten ketels</c:v>
                </c:pt>
              </c:strCache>
            </c:strRef>
          </c:cat>
          <c:val>
            <c:numRef>
              <c:f>'Indea - kostprijs 1 ton stoom'!$C$112:$C$119</c:f>
              <c:numCache>
                <c:formatCode>_-* #,##0.00\ _€_-;\-* #,##0.00\ _€_-;_-* "-"??\ _€_-;_-@_-</c:formatCode>
                <c:ptCount val="8"/>
                <c:pt idx="0">
                  <c:v>44.280924137302478</c:v>
                </c:pt>
                <c:pt idx="1">
                  <c:v>11.746191739940301</c:v>
                </c:pt>
                <c:pt idx="2">
                  <c:v>0.77765000000000006</c:v>
                </c:pt>
                <c:pt idx="3">
                  <c:v>0.44871794871794873</c:v>
                </c:pt>
                <c:pt idx="4">
                  <c:v>0.18489394999999997</c:v>
                </c:pt>
                <c:pt idx="5">
                  <c:v>0.52243826962962969</c:v>
                </c:pt>
                <c:pt idx="6">
                  <c:v>0.13461538461538461</c:v>
                </c:pt>
                <c:pt idx="7">
                  <c:v>5.0366300366300368E-2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E-457C-97D8-C4C8F939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200"/>
              <a:t>Kostprijs stoom ifv aardgasprijs en CO2-prijs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'Indea - kostprijs 1 ton stoom'!$H$155</c:f>
              <c:strCache>
                <c:ptCount val="1"/>
                <c:pt idx="0">
                  <c:v>CO2 - 50 EUR/ton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'Indea - kostprijs 1 ton stoom'!$G$157:$G$169</c:f>
              <c:numCache>
                <c:formatCode>General</c:formatCode>
                <c:ptCount val="1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  <c:pt idx="11">
                  <c:v>140</c:v>
                </c:pt>
                <c:pt idx="12">
                  <c:v>150</c:v>
                </c:pt>
              </c:numCache>
            </c:numRef>
          </c:cat>
          <c:val>
            <c:numRef>
              <c:f>'Indea - kostprijs 1 ton stoom'!$H$157:$H$169</c:f>
              <c:numCache>
                <c:formatCode>0</c:formatCode>
                <c:ptCount val="13"/>
                <c:pt idx="0">
                  <c:v>33.590389265517722</c:v>
                </c:pt>
                <c:pt idx="1">
                  <c:v>41.650623890548403</c:v>
                </c:pt>
                <c:pt idx="2">
                  <c:v>49.710858515579091</c:v>
                </c:pt>
                <c:pt idx="3">
                  <c:v>57.771093140609786</c:v>
                </c:pt>
                <c:pt idx="4">
                  <c:v>65.831327765640452</c:v>
                </c:pt>
                <c:pt idx="5">
                  <c:v>73.89156239067114</c:v>
                </c:pt>
                <c:pt idx="6">
                  <c:v>81.951797015701828</c:v>
                </c:pt>
                <c:pt idx="7">
                  <c:v>90.012031640732516</c:v>
                </c:pt>
                <c:pt idx="8">
                  <c:v>98.072266265763204</c:v>
                </c:pt>
                <c:pt idx="9">
                  <c:v>106.13250089079391</c:v>
                </c:pt>
                <c:pt idx="10">
                  <c:v>114.19273551582459</c:v>
                </c:pt>
                <c:pt idx="11">
                  <c:v>122.25297014085527</c:v>
                </c:pt>
                <c:pt idx="12">
                  <c:v>130.31320476588596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9-4FD4-AD81-3A3D643161D8}"/>
            </c:ext>
          </c:extLst>
        </c:ser>
        <c:ser>
          <c:idx val="3"/>
          <c:order val="3"/>
          <c:tx>
            <c:strRef>
              <c:f>'Indea - kostprijs 1 ton stoom'!$K$155</c:f>
              <c:strCache>
                <c:ptCount val="1"/>
                <c:pt idx="0">
                  <c:v>CO2 - 80 EUR/ton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'Indea - kostprijs 1 ton stoom'!$G$157:$G$169</c:f>
              <c:numCache>
                <c:formatCode>General</c:formatCode>
                <c:ptCount val="1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  <c:pt idx="11">
                  <c:v>140</c:v>
                </c:pt>
                <c:pt idx="12">
                  <c:v>150</c:v>
                </c:pt>
              </c:numCache>
            </c:numRef>
          </c:cat>
          <c:val>
            <c:numRef>
              <c:f>'Indea - kostprijs 1 ton stoom'!$K$157:$K$169</c:f>
              <c:numCache>
                <c:formatCode>0</c:formatCode>
                <c:ptCount val="13"/>
                <c:pt idx="0">
                  <c:v>37.995211167995336</c:v>
                </c:pt>
                <c:pt idx="1">
                  <c:v>46.055445793026017</c:v>
                </c:pt>
                <c:pt idx="2">
                  <c:v>54.115680418056705</c:v>
                </c:pt>
                <c:pt idx="3">
                  <c:v>62.1759150430874</c:v>
                </c:pt>
                <c:pt idx="4">
                  <c:v>70.23614966811806</c:v>
                </c:pt>
                <c:pt idx="5">
                  <c:v>78.296384293148748</c:v>
                </c:pt>
                <c:pt idx="6">
                  <c:v>86.356618918179436</c:v>
                </c:pt>
                <c:pt idx="7">
                  <c:v>94.416853543210124</c:v>
                </c:pt>
                <c:pt idx="8">
                  <c:v>102.47708816824081</c:v>
                </c:pt>
                <c:pt idx="9">
                  <c:v>110.53732279327151</c:v>
                </c:pt>
                <c:pt idx="10">
                  <c:v>118.5975574183022</c:v>
                </c:pt>
                <c:pt idx="11">
                  <c:v>126.65779204333288</c:v>
                </c:pt>
                <c:pt idx="12">
                  <c:v>134.71802666836356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49-4FD4-AD81-3A3D643161D8}"/>
            </c:ext>
          </c:extLst>
        </c:ser>
        <c:ser>
          <c:idx val="5"/>
          <c:order val="5"/>
          <c:tx>
            <c:strRef>
              <c:f>'Indea - kostprijs 1 ton stoom'!$M$155</c:f>
              <c:strCache>
                <c:ptCount val="1"/>
                <c:pt idx="0">
                  <c:v>CO2 - 100 EUR/ton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'Indea - kostprijs 1 ton stoom'!$G$157:$G$169</c:f>
              <c:numCache>
                <c:formatCode>General</c:formatCode>
                <c:ptCount val="1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  <c:pt idx="11">
                  <c:v>140</c:v>
                </c:pt>
                <c:pt idx="12">
                  <c:v>150</c:v>
                </c:pt>
              </c:numCache>
            </c:numRef>
          </c:cat>
          <c:val>
            <c:numRef>
              <c:f>'Indea - kostprijs 1 ton stoom'!$M$157:$M$169</c:f>
              <c:numCache>
                <c:formatCode>0</c:formatCode>
                <c:ptCount val="13"/>
                <c:pt idx="0">
                  <c:v>40.931759102980415</c:v>
                </c:pt>
                <c:pt idx="1">
                  <c:v>48.991993728011096</c:v>
                </c:pt>
                <c:pt idx="2">
                  <c:v>57.052228353041784</c:v>
                </c:pt>
                <c:pt idx="3">
                  <c:v>65.112462978072472</c:v>
                </c:pt>
                <c:pt idx="4">
                  <c:v>73.172697603103146</c:v>
                </c:pt>
                <c:pt idx="5">
                  <c:v>81.232932228133819</c:v>
                </c:pt>
                <c:pt idx="6">
                  <c:v>89.293166853164507</c:v>
                </c:pt>
                <c:pt idx="7">
                  <c:v>97.353401478195195</c:v>
                </c:pt>
                <c:pt idx="8">
                  <c:v>105.41363610322588</c:v>
                </c:pt>
                <c:pt idx="9">
                  <c:v>113.47387072825659</c:v>
                </c:pt>
                <c:pt idx="10">
                  <c:v>121.53410535328727</c:v>
                </c:pt>
                <c:pt idx="11">
                  <c:v>129.59433997831795</c:v>
                </c:pt>
                <c:pt idx="12">
                  <c:v>137.65457460334864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49-4FD4-AD81-3A3D643161D8}"/>
            </c:ext>
          </c:extLst>
        </c:ser>
        <c:ser>
          <c:idx val="7"/>
          <c:order val="7"/>
          <c:tx>
            <c:strRef>
              <c:f>'Indea - kostprijs 1 ton stoom'!$O$155</c:f>
              <c:strCache>
                <c:ptCount val="1"/>
                <c:pt idx="0">
                  <c:v>CO2 - 120 EUR/ton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'Indea - kostprijs 1 ton stoom'!$G$157:$G$169</c:f>
              <c:numCache>
                <c:formatCode>General</c:formatCode>
                <c:ptCount val="1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  <c:pt idx="11">
                  <c:v>140</c:v>
                </c:pt>
                <c:pt idx="12">
                  <c:v>150</c:v>
                </c:pt>
              </c:numCache>
            </c:numRef>
          </c:cat>
          <c:val>
            <c:numRef>
              <c:f>'Indea - kostprijs 1 ton stoom'!$O$157:$O$169</c:f>
              <c:numCache>
                <c:formatCode>0</c:formatCode>
                <c:ptCount val="13"/>
                <c:pt idx="0">
                  <c:v>43.868307037965486</c:v>
                </c:pt>
                <c:pt idx="1">
                  <c:v>51.928541662996167</c:v>
                </c:pt>
                <c:pt idx="2">
                  <c:v>59.988776288026855</c:v>
                </c:pt>
                <c:pt idx="3">
                  <c:v>68.049010913057543</c:v>
                </c:pt>
                <c:pt idx="4">
                  <c:v>76.109245538088217</c:v>
                </c:pt>
                <c:pt idx="5">
                  <c:v>84.169480163118891</c:v>
                </c:pt>
                <c:pt idx="6">
                  <c:v>92.229714788149579</c:v>
                </c:pt>
                <c:pt idx="7">
                  <c:v>100.28994941318027</c:v>
                </c:pt>
                <c:pt idx="8">
                  <c:v>108.35018403821095</c:v>
                </c:pt>
                <c:pt idx="9">
                  <c:v>116.41041866324167</c:v>
                </c:pt>
                <c:pt idx="10">
                  <c:v>124.47065328827236</c:v>
                </c:pt>
                <c:pt idx="11">
                  <c:v>132.53088791330302</c:v>
                </c:pt>
                <c:pt idx="12">
                  <c:v>140.59112253833371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49-4FD4-AD81-3A3D643161D8}"/>
            </c:ext>
          </c:extLst>
        </c:ser>
        <c:ser>
          <c:idx val="10"/>
          <c:order val="10"/>
          <c:tx>
            <c:strRef>
              <c:f>'Indea - kostprijs 1 ton stoom'!$R$155</c:f>
              <c:strCache>
                <c:ptCount val="1"/>
                <c:pt idx="0">
                  <c:v>CO2 - 150 EUR/ton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'Indea - kostprijs 1 ton stoom'!$G$157:$G$169</c:f>
              <c:numCache>
                <c:formatCode>General</c:formatCode>
                <c:ptCount val="1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  <c:pt idx="11">
                  <c:v>140</c:v>
                </c:pt>
                <c:pt idx="12">
                  <c:v>150</c:v>
                </c:pt>
              </c:numCache>
            </c:numRef>
          </c:cat>
          <c:val>
            <c:numRef>
              <c:f>'Indea - kostprijs 1 ton stoom'!$R$157:$R$169</c:f>
              <c:numCache>
                <c:formatCode>0</c:formatCode>
                <c:ptCount val="13"/>
                <c:pt idx="0">
                  <c:v>48.273128940443101</c:v>
                </c:pt>
                <c:pt idx="1">
                  <c:v>56.333363565473782</c:v>
                </c:pt>
                <c:pt idx="2">
                  <c:v>64.393598190504463</c:v>
                </c:pt>
                <c:pt idx="3">
                  <c:v>72.453832815535151</c:v>
                </c:pt>
                <c:pt idx="4">
                  <c:v>80.514067440565839</c:v>
                </c:pt>
                <c:pt idx="5">
                  <c:v>88.574302065596513</c:v>
                </c:pt>
                <c:pt idx="6">
                  <c:v>96.634536690627201</c:v>
                </c:pt>
                <c:pt idx="7">
                  <c:v>104.69477131565789</c:v>
                </c:pt>
                <c:pt idx="8">
                  <c:v>112.75500594068858</c:v>
                </c:pt>
                <c:pt idx="9">
                  <c:v>120.81524056571928</c:v>
                </c:pt>
                <c:pt idx="10">
                  <c:v>128.87547519074997</c:v>
                </c:pt>
                <c:pt idx="11">
                  <c:v>136.93570981578065</c:v>
                </c:pt>
                <c:pt idx="12">
                  <c:v>144.99594444081131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49-4FD4-AD81-3A3D6431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874816"/>
        <c:axId val="566873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'Indea - kostprijs 1 ton stoom'!$I$155</c15:sqref>
                        </c15:formulaRef>
                      </c:ext>
                    </c:extLst>
                    <c:strCache>
                      <c:ptCount val="1"/>
                      <c:pt idx="0">
                        <c:v>CO2 - 60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'Indea - kostprijs 1 ton stoom'!$I$157:$I$169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35.058663233010265</c:v>
                      </c:pt>
                      <c:pt idx="1">
                        <c:v>43.118897858040938</c:v>
                      </c:pt>
                      <c:pt idx="2">
                        <c:v>51.179132483071626</c:v>
                      </c:pt>
                      <c:pt idx="3">
                        <c:v>59.239367108102329</c:v>
                      </c:pt>
                      <c:pt idx="4">
                        <c:v>67.299601733132988</c:v>
                      </c:pt>
                      <c:pt idx="5">
                        <c:v>75.359836358163676</c:v>
                      </c:pt>
                      <c:pt idx="6">
                        <c:v>83.420070983194364</c:v>
                      </c:pt>
                      <c:pt idx="7">
                        <c:v>91.480305608225052</c:v>
                      </c:pt>
                      <c:pt idx="8">
                        <c:v>99.54054023325574</c:v>
                      </c:pt>
                      <c:pt idx="9">
                        <c:v>107.60077485828644</c:v>
                      </c:pt>
                      <c:pt idx="10">
                        <c:v>115.66100948331713</c:v>
                      </c:pt>
                      <c:pt idx="11">
                        <c:v>123.7212441083478</c:v>
                      </c:pt>
                      <c:pt idx="12">
                        <c:v>131.78147873337849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349-4FD4-AD81-3A3D643161D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stoom'!$J$155</c15:sqref>
                        </c15:formulaRef>
                      </c:ext>
                    </c:extLst>
                    <c:strCache>
                      <c:ptCount val="1"/>
                      <c:pt idx="0">
                        <c:v>CO2 - 70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stoom'!$J$157:$J$169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36.5269372005028</c:v>
                      </c:pt>
                      <c:pt idx="1">
                        <c:v>44.587171825533481</c:v>
                      </c:pt>
                      <c:pt idx="2">
                        <c:v>52.647406450564169</c:v>
                      </c:pt>
                      <c:pt idx="3">
                        <c:v>60.707641075594864</c:v>
                      </c:pt>
                      <c:pt idx="4">
                        <c:v>68.767875700625524</c:v>
                      </c:pt>
                      <c:pt idx="5">
                        <c:v>76.828110325656212</c:v>
                      </c:pt>
                      <c:pt idx="6">
                        <c:v>84.8883449506869</c:v>
                      </c:pt>
                      <c:pt idx="7">
                        <c:v>92.948579575717588</c:v>
                      </c:pt>
                      <c:pt idx="8">
                        <c:v>101.00881420074828</c:v>
                      </c:pt>
                      <c:pt idx="9">
                        <c:v>109.06904882577898</c:v>
                      </c:pt>
                      <c:pt idx="10">
                        <c:v>117.12928345080967</c:v>
                      </c:pt>
                      <c:pt idx="11">
                        <c:v>125.18951807584034</c:v>
                      </c:pt>
                      <c:pt idx="12">
                        <c:v>133.24975270087103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349-4FD4-AD81-3A3D643161D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stoom'!$L$155</c15:sqref>
                        </c15:formulaRef>
                      </c:ext>
                    </c:extLst>
                    <c:strCache>
                      <c:ptCount val="1"/>
                      <c:pt idx="0">
                        <c:v>CO2 - 90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stoom'!$L$157:$L$169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39.463485135487872</c:v>
                      </c:pt>
                      <c:pt idx="1">
                        <c:v>47.52371976051856</c:v>
                      </c:pt>
                      <c:pt idx="2">
                        <c:v>55.583954385549248</c:v>
                      </c:pt>
                      <c:pt idx="3">
                        <c:v>63.644189010579936</c:v>
                      </c:pt>
                      <c:pt idx="4">
                        <c:v>71.70442363561061</c:v>
                      </c:pt>
                      <c:pt idx="5">
                        <c:v>79.764658260641284</c:v>
                      </c:pt>
                      <c:pt idx="6">
                        <c:v>87.824892885671971</c:v>
                      </c:pt>
                      <c:pt idx="7">
                        <c:v>95.885127510702659</c:v>
                      </c:pt>
                      <c:pt idx="8">
                        <c:v>103.94536213573335</c:v>
                      </c:pt>
                      <c:pt idx="9">
                        <c:v>112.00559676076405</c:v>
                      </c:pt>
                      <c:pt idx="10">
                        <c:v>120.06583138579474</c:v>
                      </c:pt>
                      <c:pt idx="11">
                        <c:v>128.12606601082541</c:v>
                      </c:pt>
                      <c:pt idx="12">
                        <c:v>136.1863006358561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349-4FD4-AD81-3A3D643161D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stoom'!$N$155</c15:sqref>
                        </c15:formulaRef>
                      </c:ext>
                    </c:extLst>
                    <c:strCache>
                      <c:ptCount val="1"/>
                      <c:pt idx="0">
                        <c:v>CO2 - 110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stoom'!$N$157:$N$169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42.400033070472951</c:v>
                      </c:pt>
                      <c:pt idx="1">
                        <c:v>50.460267695503632</c:v>
                      </c:pt>
                      <c:pt idx="2">
                        <c:v>58.52050232053432</c:v>
                      </c:pt>
                      <c:pt idx="3">
                        <c:v>66.580736945565008</c:v>
                      </c:pt>
                      <c:pt idx="4">
                        <c:v>74.640971570595681</c:v>
                      </c:pt>
                      <c:pt idx="5">
                        <c:v>82.701206195626355</c:v>
                      </c:pt>
                      <c:pt idx="6">
                        <c:v>90.761440820657043</c:v>
                      </c:pt>
                      <c:pt idx="7">
                        <c:v>98.821675445687731</c:v>
                      </c:pt>
                      <c:pt idx="8">
                        <c:v>106.88191007071842</c:v>
                      </c:pt>
                      <c:pt idx="9">
                        <c:v>114.94214469574914</c:v>
                      </c:pt>
                      <c:pt idx="10">
                        <c:v>123.00237932077982</c:v>
                      </c:pt>
                      <c:pt idx="11">
                        <c:v>131.06261394581048</c:v>
                      </c:pt>
                      <c:pt idx="12">
                        <c:v>139.12284857084117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349-4FD4-AD81-3A3D643161D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stoom'!$P$155</c15:sqref>
                        </c15:formulaRef>
                      </c:ext>
                    </c:extLst>
                    <c:strCache>
                      <c:ptCount val="1"/>
                      <c:pt idx="0">
                        <c:v>CO2 - 130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stoom'!$P$157:$P$169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45.336581005458029</c:v>
                      </c:pt>
                      <c:pt idx="1">
                        <c:v>53.396815630488703</c:v>
                      </c:pt>
                      <c:pt idx="2">
                        <c:v>61.457050255519391</c:v>
                      </c:pt>
                      <c:pt idx="3">
                        <c:v>69.517284880550079</c:v>
                      </c:pt>
                      <c:pt idx="4">
                        <c:v>77.577519505580753</c:v>
                      </c:pt>
                      <c:pt idx="5">
                        <c:v>85.637754130611441</c:v>
                      </c:pt>
                      <c:pt idx="6">
                        <c:v>93.697988755642129</c:v>
                      </c:pt>
                      <c:pt idx="7">
                        <c:v>101.75822338067282</c:v>
                      </c:pt>
                      <c:pt idx="8">
                        <c:v>109.8184580057035</c:v>
                      </c:pt>
                      <c:pt idx="9">
                        <c:v>117.87869263073421</c:v>
                      </c:pt>
                      <c:pt idx="10">
                        <c:v>125.9389272557649</c:v>
                      </c:pt>
                      <c:pt idx="11">
                        <c:v>133.99916188079555</c:v>
                      </c:pt>
                      <c:pt idx="12">
                        <c:v>142.05939650582624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349-4FD4-AD81-3A3D643161D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stoom'!$Q$155</c15:sqref>
                        </c15:formulaRef>
                      </c:ext>
                    </c:extLst>
                    <c:strCache>
                      <c:ptCount val="1"/>
                      <c:pt idx="0">
                        <c:v>CO2 - 140 EUR/ton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stoom'!$G$157:$G$169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</c:v>
                      </c:pt>
                      <c:pt idx="1">
                        <c:v>40</c:v>
                      </c:pt>
                      <c:pt idx="2">
                        <c:v>50</c:v>
                      </c:pt>
                      <c:pt idx="3">
                        <c:v>60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90</c:v>
                      </c:pt>
                      <c:pt idx="7">
                        <c:v>100</c:v>
                      </c:pt>
                      <c:pt idx="8">
                        <c:v>110</c:v>
                      </c:pt>
                      <c:pt idx="9">
                        <c:v>120</c:v>
                      </c:pt>
                      <c:pt idx="10">
                        <c:v>130</c:v>
                      </c:pt>
                      <c:pt idx="11">
                        <c:v>140</c:v>
                      </c:pt>
                      <c:pt idx="12">
                        <c:v>150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'Indea - kostprijs 1 ton stoom'!$Q$157:$Q$169</c15:sqref>
                        </c15:formulaRef>
                      </c:ext>
                    </c:extLst>
                    <c:numCache>
                      <c:formatCode>0</c:formatCode>
                      <c:ptCount val="13"/>
                      <c:pt idx="0">
                        <c:v>46.804854972950565</c:v>
                      </c:pt>
                      <c:pt idx="1">
                        <c:v>54.865089597981239</c:v>
                      </c:pt>
                      <c:pt idx="2">
                        <c:v>62.925324223011927</c:v>
                      </c:pt>
                      <c:pt idx="3">
                        <c:v>70.985558848042615</c:v>
                      </c:pt>
                      <c:pt idx="4">
                        <c:v>79.045793473073289</c:v>
                      </c:pt>
                      <c:pt idx="5">
                        <c:v>87.106028098103977</c:v>
                      </c:pt>
                      <c:pt idx="6">
                        <c:v>95.166262723134665</c:v>
                      </c:pt>
                      <c:pt idx="7">
                        <c:v>103.22649734816535</c:v>
                      </c:pt>
                      <c:pt idx="8">
                        <c:v>111.28673197319604</c:v>
                      </c:pt>
                      <c:pt idx="9">
                        <c:v>119.34696659822674</c:v>
                      </c:pt>
                      <c:pt idx="10">
                        <c:v>127.40720122325743</c:v>
                      </c:pt>
                      <c:pt idx="11">
                        <c:v>135.46743584828809</c:v>
                      </c:pt>
                      <c:pt idx="12">
                        <c:v>143.52767047331878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349-4FD4-AD81-3A3D643161D8}"/>
                  </c:ext>
                </c:extLst>
              </c15:ser>
            </c15:filteredLineSeries>
          </c:ext>
        </c:extLst>
      </c:lineChart>
      <c:catAx>
        <c:axId val="56687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Prijs aardgas (EUR/MWh_cbw)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6873152"/>
        <c:crosses val="autoZero"/>
        <c:auto val="1"/>
        <c:lblAlgn val="ctr"/>
        <c:lblOffset val="100"/>
        <c:noMultiLvlLbl val="0"/>
      </c:catAx>
      <c:valAx>
        <c:axId val="566873152"/>
        <c:scaling>
          <c:orientation val="minMax"/>
          <c:max val="1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Kostprijs stoom (EUR/ton)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68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588779527559053"/>
          <c:y val="0.44276465441819773"/>
          <c:w val="0.27466776027996498"/>
          <c:h val="0.3443314377369495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180</xdr:row>
      <xdr:rowOff>9525</xdr:rowOff>
    </xdr:from>
    <xdr:to>
      <xdr:col>1</xdr:col>
      <xdr:colOff>1209675</xdr:colOff>
      <xdr:row>182</xdr:row>
      <xdr:rowOff>114300</xdr:rowOff>
    </xdr:to>
    <xdr:pic>
      <xdr:nvPicPr>
        <xdr:cNvPr id="1180" name="Picture 30" descr="logo_indea_cmyk 25%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935575"/>
          <a:ext cx="1171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923925</xdr:colOff>
      <xdr:row>168</xdr:row>
      <xdr:rowOff>9525</xdr:rowOff>
    </xdr:from>
    <xdr:to>
      <xdr:col>3</xdr:col>
      <xdr:colOff>1028700</xdr:colOff>
      <xdr:row>182</xdr:row>
      <xdr:rowOff>104775</xdr:rowOff>
    </xdr:to>
    <xdr:sp macro="" textlink="">
      <xdr:nvSpPr>
        <xdr:cNvPr id="1181" name="Rectangle 3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6044565" y="17139285"/>
          <a:ext cx="104775" cy="2548890"/>
        </a:xfrm>
        <a:prstGeom prst="rect">
          <a:avLst/>
        </a:prstGeom>
        <a:solidFill>
          <a:srgbClr val="99CC00"/>
        </a:solidFill>
        <a:ln w="9525">
          <a:solidFill>
            <a:srgbClr val="99CC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121920</xdr:colOff>
      <xdr:row>168</xdr:row>
      <xdr:rowOff>121920</xdr:rowOff>
    </xdr:from>
    <xdr:to>
      <xdr:col>1</xdr:col>
      <xdr:colOff>3404089</xdr:colOff>
      <xdr:row>179</xdr:row>
      <xdr:rowOff>9536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61950" y="16373475"/>
          <a:ext cx="3276600" cy="166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l-BE" sz="10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NL" sz="1000">
              <a:effectLst/>
              <a:latin typeface="+mn-lt"/>
              <a:ea typeface="+mn-ea"/>
              <a:cs typeface="+mn-cs"/>
            </a:rPr>
            <a:t>Indea biedt jou deze rekentool gratis aan. Wil je een simulatie op maat met een scenariovergelijking ketels - waterbehandeling - WKK - alternatieve productiemethodes? Geef ons vrijblijvend vrijblijvend seintje via 0479 239 009 of </a:t>
          </a:r>
          <a:r>
            <a:rPr lang="nl-NL" sz="1000" u="sng">
              <a:effectLst/>
              <a:latin typeface="+mn-lt"/>
              <a:ea typeface="+mn-ea"/>
              <a:cs typeface="+mn-cs"/>
            </a:rPr>
            <a:t>via e-mail</a:t>
          </a:r>
          <a:r>
            <a:rPr lang="nl-NL" sz="1000">
              <a:effectLst/>
              <a:latin typeface="+mn-lt"/>
              <a:ea typeface="+mn-ea"/>
              <a:cs typeface="+mn-cs"/>
            </a:rPr>
            <a:t>.</a:t>
          </a:r>
          <a:endParaRPr lang="nl-BE" sz="1000">
            <a:effectLst/>
            <a:latin typeface="+mn-lt"/>
            <a:ea typeface="+mn-ea"/>
            <a:cs typeface="+mn-cs"/>
          </a:endParaRPr>
        </a:p>
        <a:p>
          <a:endParaRPr lang="nl-NL" sz="900">
            <a:effectLst/>
            <a:latin typeface="+mn-lt"/>
            <a:ea typeface="+mn-ea"/>
            <a:cs typeface="+mn-cs"/>
          </a:endParaRPr>
        </a:p>
        <a:p>
          <a:r>
            <a:rPr lang="nl-NL" sz="900">
              <a:effectLst/>
              <a:latin typeface="+mn-lt"/>
              <a:ea typeface="+mn-ea"/>
              <a:cs typeface="+mn-cs"/>
            </a:rPr>
            <a:t>Disclaimer: Gebruik en reproductie toegestaan mits bronvermelding. Je kan Indea niet verantwoordelijk stellen voor gevolgen voortvloeiend uit het gebruik van deze tool.</a:t>
          </a:r>
          <a:endParaRPr lang="nl-BE" sz="700">
            <a:effectLst/>
          </a:endParaRPr>
        </a:p>
      </xdr:txBody>
    </xdr:sp>
    <xdr:clientData/>
  </xdr:twoCellAnchor>
  <xdr:twoCellAnchor editAs="oneCell">
    <xdr:from>
      <xdr:col>1</xdr:col>
      <xdr:colOff>38100</xdr:colOff>
      <xdr:row>59</xdr:row>
      <xdr:rowOff>9525</xdr:rowOff>
    </xdr:from>
    <xdr:to>
      <xdr:col>1</xdr:col>
      <xdr:colOff>1209675</xdr:colOff>
      <xdr:row>61</xdr:row>
      <xdr:rowOff>114300</xdr:rowOff>
    </xdr:to>
    <xdr:pic>
      <xdr:nvPicPr>
        <xdr:cNvPr id="1183" name="Picture 34" descr="logo_indea_cmyk 25%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686800"/>
          <a:ext cx="1171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1428750</xdr:colOff>
      <xdr:row>181</xdr:row>
      <xdr:rowOff>104775</xdr:rowOff>
    </xdr:from>
    <xdr:to>
      <xdr:col>3</xdr:col>
      <xdr:colOff>360030</xdr:colOff>
      <xdr:row>182</xdr:row>
      <xdr:rowOff>150643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666875" y="18459450"/>
          <a:ext cx="36766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BE" sz="1200" b="1" i="0" strike="noStrike">
              <a:solidFill>
                <a:srgbClr val="99CC00"/>
              </a:solidFill>
              <a:latin typeface="+mn-lt"/>
              <a:cs typeface="Arial"/>
            </a:rPr>
            <a:t>Ondersteunt industriële energiemanagers</a:t>
          </a:r>
        </a:p>
      </xdr:txBody>
    </xdr:sp>
    <xdr:clientData/>
  </xdr:twoCellAnchor>
  <xdr:twoCellAnchor>
    <xdr:from>
      <xdr:col>1</xdr:col>
      <xdr:colOff>1428750</xdr:colOff>
      <xdr:row>60</xdr:row>
      <xdr:rowOff>104775</xdr:rowOff>
    </xdr:from>
    <xdr:to>
      <xdr:col>3</xdr:col>
      <xdr:colOff>360030</xdr:colOff>
      <xdr:row>61</xdr:row>
      <xdr:rowOff>150643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666875" y="9048750"/>
          <a:ext cx="36766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BE" sz="1200" b="1" i="0" strike="noStrike">
              <a:solidFill>
                <a:srgbClr val="99CC00"/>
              </a:solidFill>
              <a:latin typeface="+mn-lt"/>
              <a:cs typeface="Arial"/>
            </a:rPr>
            <a:t>Ondersteunt</a:t>
          </a:r>
          <a:r>
            <a:rPr lang="nl-BE" sz="1200" b="1" i="0" strike="noStrike" baseline="0">
              <a:solidFill>
                <a:srgbClr val="99CC00"/>
              </a:solidFill>
              <a:latin typeface="+mn-lt"/>
              <a:cs typeface="Arial"/>
            </a:rPr>
            <a:t> industriële energiemanagers</a:t>
          </a:r>
          <a:endParaRPr lang="nl-BE" sz="1200" b="1" i="0" strike="noStrike">
            <a:solidFill>
              <a:srgbClr val="99CC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9525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47650" y="485775"/>
          <a:ext cx="5772150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nl-NL" sz="1100">
              <a:effectLst/>
              <a:latin typeface="+mn-lt"/>
              <a:ea typeface="+mn-ea"/>
              <a:cs typeface="+mn-cs"/>
            </a:rPr>
            <a:t>Vul de groene cellen in volgens de specificaties van je stoominstallatie. Het kader op pagina 2 toont dan de kosten voor brandstof, water, producten, elektriciteit en afschrijving per geproduceerde ton stoom. </a:t>
          </a:r>
          <a:endParaRPr lang="nl-BE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27940</xdr:colOff>
      <xdr:row>109</xdr:row>
      <xdr:rowOff>39370</xdr:rowOff>
    </xdr:from>
    <xdr:to>
      <xdr:col>4</xdr:col>
      <xdr:colOff>12700</xdr:colOff>
      <xdr:row>125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223F487-C3D6-9BA4-FF65-77BF40612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4</xdr:col>
      <xdr:colOff>0</xdr:colOff>
      <xdr:row>154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56AB49D-F64C-B0EC-8FC1-39EC6F7F3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128</xdr:row>
      <xdr:rowOff>0</xdr:rowOff>
    </xdr:from>
    <xdr:to>
      <xdr:col>4</xdr:col>
      <xdr:colOff>0</xdr:colOff>
      <xdr:row>131</xdr:row>
      <xdr:rowOff>127000</xdr:rowOff>
    </xdr:to>
    <xdr:sp macro="" textlink="">
      <xdr:nvSpPr>
        <xdr:cNvPr id="6" name="Text Box 37">
          <a:extLst>
            <a:ext uri="{FF2B5EF4-FFF2-40B4-BE49-F238E27FC236}">
              <a16:creationId xmlns:a16="http://schemas.microsoft.com/office/drawing/2014/main" id="{BCA92842-51F3-4A1A-B902-90995F3EAAD9}"/>
            </a:ext>
          </a:extLst>
        </xdr:cNvPr>
        <xdr:cNvSpPr txBox="1">
          <a:spLocks noChangeArrowheads="1"/>
        </xdr:cNvSpPr>
      </xdr:nvSpPr>
      <xdr:spPr bwMode="auto">
        <a:xfrm>
          <a:off x="250825" y="20586700"/>
          <a:ext cx="5934075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nl-NL" sz="1100">
              <a:effectLst/>
              <a:latin typeface="+mn-lt"/>
              <a:ea typeface="+mn-ea"/>
              <a:cs typeface="+mn-cs"/>
            </a:rPr>
            <a:t>Onderstaande</a:t>
          </a:r>
          <a:r>
            <a:rPr lang="nl-NL" sz="1100" baseline="0">
              <a:effectLst/>
              <a:latin typeface="+mn-lt"/>
              <a:ea typeface="+mn-ea"/>
              <a:cs typeface="+mn-cs"/>
            </a:rPr>
            <a:t> grafiek toont de kostprijs van stoom - op basis van de hiervoor ingegeven parameters van de installatie, bij variërende aardas- en CO2-prijzen.</a:t>
          </a:r>
          <a:endParaRPr lang="nl-BE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wqlh\LOCALS~1\Temp\d.notes.data\Profiles\agxls\LOCALS~1\Temp\D.Profiles.agxls.Application%20Data.Notes\Unfallstatistik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2003"/>
      <sheetName val="Zeiliche Abfolge"/>
      <sheetName val="Vergleich Zeitentwicklung"/>
      <sheetName val="Übersicht aktuell"/>
      <sheetName val="Unfallübersicht"/>
      <sheetName val="VV"/>
      <sheetName val="Unfälle 2003"/>
      <sheetName val="Statistik_2003"/>
      <sheetName val="Zeiliche_Abfolge"/>
      <sheetName val="Vergleich_Zeitentwicklung"/>
      <sheetName val="Übersicht_aktuell"/>
      <sheetName val="Unfälle_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a.be/" TargetMode="External"/><Relationship Id="rId1" Type="http://schemas.openxmlformats.org/officeDocument/2006/relationships/hyperlink" Target="mailto:valerie.degroote@indea.b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2:R184"/>
  <sheetViews>
    <sheetView tabSelected="1" defaultGridColor="0" colorId="22" zoomScaleNormal="100" workbookViewId="0">
      <selection activeCell="J66" sqref="J66"/>
    </sheetView>
  </sheetViews>
  <sheetFormatPr defaultColWidth="9.6640625" defaultRowHeight="13.8" x14ac:dyDescent="0.3"/>
  <cols>
    <col min="1" max="1" width="3.5546875" style="1" customWidth="1"/>
    <col min="2" max="2" width="55.5546875" style="1" customWidth="1"/>
    <col min="3" max="3" width="15.5546875" style="1" customWidth="1"/>
    <col min="4" max="4" width="15.5546875" style="2" customWidth="1"/>
    <col min="5" max="16384" width="9.6640625" style="1"/>
  </cols>
  <sheetData>
    <row r="2" spans="2:4" ht="14.4" x14ac:dyDescent="0.3">
      <c r="B2" s="62" t="s">
        <v>116</v>
      </c>
      <c r="C2" s="63"/>
      <c r="D2" s="63"/>
    </row>
    <row r="9" spans="2:4" x14ac:dyDescent="0.3">
      <c r="B9" s="64" t="s">
        <v>71</v>
      </c>
      <c r="C9" s="65"/>
      <c r="D9" s="65"/>
    </row>
    <row r="11" spans="2:4" x14ac:dyDescent="0.3">
      <c r="B11" s="3" t="s">
        <v>56</v>
      </c>
    </row>
    <row r="12" spans="2:4" ht="4.5" customHeight="1" x14ac:dyDescent="0.3">
      <c r="B12" s="3"/>
    </row>
    <row r="13" spans="2:4" x14ac:dyDescent="0.3">
      <c r="B13" s="1" t="s">
        <v>30</v>
      </c>
      <c r="C13" s="4">
        <v>15000</v>
      </c>
      <c r="D13" s="2" t="s">
        <v>0</v>
      </c>
    </row>
    <row r="14" spans="2:4" x14ac:dyDescent="0.3">
      <c r="B14" s="1" t="s">
        <v>31</v>
      </c>
      <c r="C14" s="4">
        <v>8000</v>
      </c>
      <c r="D14" s="2" t="s">
        <v>78</v>
      </c>
    </row>
    <row r="15" spans="2:4" x14ac:dyDescent="0.3">
      <c r="B15" s="1" t="s">
        <v>46</v>
      </c>
      <c r="C15" s="4">
        <v>12</v>
      </c>
    </row>
    <row r="16" spans="2:4" x14ac:dyDescent="0.3">
      <c r="B16" s="1" t="s">
        <v>32</v>
      </c>
      <c r="C16" s="4">
        <v>13</v>
      </c>
      <c r="D16" s="2" t="s">
        <v>75</v>
      </c>
    </row>
    <row r="17" spans="2:4" x14ac:dyDescent="0.3">
      <c r="B17" s="1" t="s">
        <v>33</v>
      </c>
      <c r="C17" s="4">
        <f>2*22+2*7.5</f>
        <v>59</v>
      </c>
      <c r="D17" s="2" t="s">
        <v>0</v>
      </c>
    </row>
    <row r="18" spans="2:4" x14ac:dyDescent="0.3">
      <c r="B18" s="7" t="s">
        <v>2</v>
      </c>
      <c r="C18" s="4">
        <v>10</v>
      </c>
      <c r="D18" s="8" t="s">
        <v>79</v>
      </c>
    </row>
    <row r="19" spans="2:4" s="6" customFormat="1" ht="6" customHeight="1" x14ac:dyDescent="0.3">
      <c r="B19" s="9"/>
      <c r="C19" s="10"/>
      <c r="D19" s="8"/>
    </row>
    <row r="20" spans="2:4" x14ac:dyDescent="0.3">
      <c r="B20" s="1" t="s">
        <v>13</v>
      </c>
      <c r="C20" s="4">
        <v>100</v>
      </c>
      <c r="D20" s="11" t="s">
        <v>8</v>
      </c>
    </row>
    <row r="21" spans="2:4" x14ac:dyDescent="0.3">
      <c r="B21" s="1" t="s">
        <v>7</v>
      </c>
      <c r="C21" s="4">
        <v>15</v>
      </c>
      <c r="D21" s="11" t="s">
        <v>8</v>
      </c>
    </row>
    <row r="22" spans="2:4" s="6" customFormat="1" ht="6" customHeight="1" x14ac:dyDescent="0.3">
      <c r="C22" s="10"/>
      <c r="D22" s="11"/>
    </row>
    <row r="23" spans="2:4" x14ac:dyDescent="0.3">
      <c r="B23" s="1" t="s">
        <v>43</v>
      </c>
      <c r="C23" s="12">
        <v>94.5</v>
      </c>
      <c r="D23" s="11" t="s">
        <v>4</v>
      </c>
    </row>
    <row r="24" spans="2:4" s="6" customFormat="1" ht="6" customHeight="1" x14ac:dyDescent="0.3">
      <c r="C24" s="10"/>
      <c r="D24" s="11"/>
    </row>
    <row r="25" spans="2:4" x14ac:dyDescent="0.3">
      <c r="B25" s="1" t="s">
        <v>53</v>
      </c>
      <c r="C25" s="4">
        <v>10</v>
      </c>
      <c r="D25" s="11" t="s">
        <v>14</v>
      </c>
    </row>
    <row r="26" spans="2:4" x14ac:dyDescent="0.3">
      <c r="B26" s="1" t="s">
        <v>54</v>
      </c>
      <c r="C26" s="4">
        <v>2500</v>
      </c>
      <c r="D26" s="11" t="s">
        <v>14</v>
      </c>
    </row>
    <row r="27" spans="2:4" x14ac:dyDescent="0.3">
      <c r="B27" s="1" t="s">
        <v>55</v>
      </c>
      <c r="C27" s="4">
        <v>30</v>
      </c>
      <c r="D27" s="11" t="s">
        <v>4</v>
      </c>
    </row>
    <row r="28" spans="2:4" x14ac:dyDescent="0.3">
      <c r="B28" s="1" t="s">
        <v>91</v>
      </c>
      <c r="C28" s="13">
        <f>MAX(0.79,(((100-C27)/100*(C16*1000)*C26*0.0002+(C16*1000)*C25-(100-C27)/100*C25*(C16*1000)-(C16*1000)*C26*0.0002)/(C26-C25)/(C16*1000)*100))</f>
        <v>0.79</v>
      </c>
      <c r="D28" s="2" t="s">
        <v>4</v>
      </c>
    </row>
    <row r="29" spans="2:4" s="6" customFormat="1" ht="6" customHeight="1" x14ac:dyDescent="0.3">
      <c r="C29" s="10"/>
      <c r="D29" s="11"/>
    </row>
    <row r="30" spans="2:4" x14ac:dyDescent="0.3">
      <c r="B30" s="1" t="s">
        <v>35</v>
      </c>
      <c r="C30" s="14">
        <f>VLOOKUP(C18,stoomtabel,5)</f>
        <v>2779.63</v>
      </c>
      <c r="D30" s="2" t="s">
        <v>12</v>
      </c>
    </row>
    <row r="31" spans="2:4" x14ac:dyDescent="0.3">
      <c r="B31" s="1" t="s">
        <v>36</v>
      </c>
      <c r="C31" s="15">
        <f>4.186*C21</f>
        <v>62.79</v>
      </c>
      <c r="D31" s="2" t="s">
        <v>12</v>
      </c>
    </row>
    <row r="32" spans="2:4" x14ac:dyDescent="0.3">
      <c r="B32" s="1" t="s">
        <v>37</v>
      </c>
      <c r="C32" s="14">
        <f>C20*4.186</f>
        <v>418.6</v>
      </c>
      <c r="D32" s="2" t="s">
        <v>12</v>
      </c>
    </row>
    <row r="33" spans="2:4" x14ac:dyDescent="0.3">
      <c r="B33" s="1" t="s">
        <v>38</v>
      </c>
      <c r="C33" s="14">
        <f>VLOOKUP(C18,stoomtabel,3)</f>
        <v>781.13</v>
      </c>
      <c r="D33" s="2" t="s">
        <v>12</v>
      </c>
    </row>
    <row r="34" spans="2:4" x14ac:dyDescent="0.3">
      <c r="C34" s="16"/>
    </row>
    <row r="35" spans="2:4" x14ac:dyDescent="0.3">
      <c r="B35" s="3" t="s">
        <v>57</v>
      </c>
      <c r="C35" s="16"/>
    </row>
    <row r="36" spans="2:4" ht="6" customHeight="1" x14ac:dyDescent="0.3">
      <c r="B36" s="3"/>
      <c r="C36" s="16"/>
    </row>
    <row r="37" spans="2:4" x14ac:dyDescent="0.3">
      <c r="B37" s="1" t="s">
        <v>34</v>
      </c>
      <c r="C37" s="4">
        <v>700000</v>
      </c>
      <c r="D37" s="17" t="s">
        <v>1</v>
      </c>
    </row>
    <row r="38" spans="2:4" x14ac:dyDescent="0.3">
      <c r="B38" s="6" t="s">
        <v>77</v>
      </c>
      <c r="C38" s="4">
        <v>15</v>
      </c>
      <c r="D38" s="17" t="s">
        <v>3</v>
      </c>
    </row>
    <row r="39" spans="2:4" ht="6" customHeight="1" x14ac:dyDescent="0.3">
      <c r="C39" s="16"/>
    </row>
    <row r="40" spans="2:4" x14ac:dyDescent="0.3">
      <c r="B40" s="1" t="s">
        <v>39</v>
      </c>
      <c r="C40" s="4">
        <v>55</v>
      </c>
      <c r="D40" s="2" t="s">
        <v>5</v>
      </c>
    </row>
    <row r="41" spans="2:4" x14ac:dyDescent="0.3">
      <c r="B41" s="1" t="s">
        <v>98</v>
      </c>
      <c r="C41" s="4">
        <v>80</v>
      </c>
      <c r="D41" s="2" t="s">
        <v>99</v>
      </c>
    </row>
    <row r="42" spans="2:4" x14ac:dyDescent="0.3">
      <c r="B42" s="1" t="s">
        <v>6</v>
      </c>
      <c r="C42" s="4">
        <v>176</v>
      </c>
      <c r="D42" s="2" t="s">
        <v>5</v>
      </c>
    </row>
    <row r="43" spans="2:4" x14ac:dyDescent="0.3">
      <c r="B43" s="1" t="s">
        <v>40</v>
      </c>
      <c r="C43" s="12">
        <v>2.5</v>
      </c>
      <c r="D43" s="2" t="s">
        <v>9</v>
      </c>
    </row>
    <row r="44" spans="2:4" x14ac:dyDescent="0.3">
      <c r="B44" s="1" t="s">
        <v>41</v>
      </c>
      <c r="C44" s="12">
        <v>5</v>
      </c>
      <c r="D44" s="2" t="s">
        <v>11</v>
      </c>
    </row>
    <row r="45" spans="2:4" x14ac:dyDescent="0.3">
      <c r="B45" s="1" t="s">
        <v>42</v>
      </c>
      <c r="C45" s="12">
        <v>0.25</v>
      </c>
      <c r="D45" s="2" t="s">
        <v>11</v>
      </c>
    </row>
    <row r="46" spans="2:4" x14ac:dyDescent="0.3">
      <c r="B46" s="6" t="s">
        <v>10</v>
      </c>
      <c r="C46" s="12">
        <v>1</v>
      </c>
      <c r="D46" s="2" t="s">
        <v>9</v>
      </c>
    </row>
    <row r="48" spans="2:4" x14ac:dyDescent="0.3">
      <c r="B48" s="3" t="s">
        <v>58</v>
      </c>
    </row>
    <row r="49" spans="2:4" ht="6" customHeight="1" x14ac:dyDescent="0.3"/>
    <row r="50" spans="2:4" x14ac:dyDescent="0.3">
      <c r="B50" s="1" t="s">
        <v>44</v>
      </c>
      <c r="C50" s="4">
        <v>2</v>
      </c>
      <c r="D50" s="2" t="s">
        <v>4</v>
      </c>
    </row>
    <row r="52" spans="2:4" x14ac:dyDescent="0.3">
      <c r="B52" s="3" t="s">
        <v>59</v>
      </c>
    </row>
    <row r="53" spans="2:4" ht="6" customHeight="1" x14ac:dyDescent="0.3"/>
    <row r="54" spans="2:4" x14ac:dyDescent="0.3">
      <c r="B54" s="1" t="s">
        <v>60</v>
      </c>
      <c r="C54" s="4">
        <v>100</v>
      </c>
      <c r="D54" s="2" t="s">
        <v>16</v>
      </c>
    </row>
    <row r="55" spans="2:4" ht="6" customHeight="1" x14ac:dyDescent="0.3"/>
    <row r="56" spans="2:4" x14ac:dyDescent="0.3">
      <c r="B56" s="1" t="s">
        <v>45</v>
      </c>
      <c r="C56" s="4">
        <v>60</v>
      </c>
      <c r="D56" s="2" t="s">
        <v>62</v>
      </c>
    </row>
    <row r="57" spans="2:4" x14ac:dyDescent="0.3">
      <c r="B57" s="1" t="s">
        <v>61</v>
      </c>
      <c r="C57" s="18">
        <v>6.7</v>
      </c>
      <c r="D57" s="2" t="s">
        <v>17</v>
      </c>
    </row>
    <row r="58" spans="2:4" x14ac:dyDescent="0.3">
      <c r="C58" s="18"/>
    </row>
    <row r="59" spans="2:4" x14ac:dyDescent="0.3">
      <c r="C59" s="18"/>
    </row>
    <row r="65" spans="2:4" x14ac:dyDescent="0.3">
      <c r="B65" s="66" t="s">
        <v>76</v>
      </c>
      <c r="C65" s="66"/>
      <c r="D65" s="66"/>
    </row>
    <row r="67" spans="2:4" x14ac:dyDescent="0.3">
      <c r="B67" s="3" t="s">
        <v>94</v>
      </c>
    </row>
    <row r="68" spans="2:4" ht="6" customHeight="1" x14ac:dyDescent="0.3">
      <c r="B68" s="3"/>
    </row>
    <row r="69" spans="2:4" x14ac:dyDescent="0.3">
      <c r="B69" s="19" t="s">
        <v>63</v>
      </c>
      <c r="C69" s="13">
        <f>1000*(C30-C32)/3.251/1000/C23*100</f>
        <v>768.51567039201609</v>
      </c>
      <c r="D69" s="20" t="s">
        <v>95</v>
      </c>
    </row>
    <row r="70" spans="2:4" x14ac:dyDescent="0.3">
      <c r="B70" s="19" t="s">
        <v>64</v>
      </c>
      <c r="C70" s="13">
        <f>C27/100*1000*(C32-C31)/C23*100/3.251/1000</f>
        <v>34.744864827916203</v>
      </c>
      <c r="D70" s="20" t="s">
        <v>95</v>
      </c>
    </row>
    <row r="71" spans="2:4" x14ac:dyDescent="0.3">
      <c r="B71" s="19" t="s">
        <v>65</v>
      </c>
      <c r="C71" s="13">
        <f>C28/100*1000*(C33-C31)/C23*100/3.251/1000</f>
        <v>1.8471763673855339</v>
      </c>
      <c r="D71" s="20" t="s">
        <v>95</v>
      </c>
    </row>
    <row r="72" spans="2:4" ht="6" customHeight="1" x14ac:dyDescent="0.3">
      <c r="B72" s="19"/>
      <c r="C72" s="13"/>
      <c r="D72" s="20"/>
    </row>
    <row r="73" spans="2:4" x14ac:dyDescent="0.3">
      <c r="B73" s="21" t="s">
        <v>66</v>
      </c>
      <c r="C73" s="22">
        <f>SUM(C69:C71)</f>
        <v>805.10771158731779</v>
      </c>
      <c r="D73" s="23" t="s">
        <v>95</v>
      </c>
    </row>
    <row r="74" spans="2:4" x14ac:dyDescent="0.3">
      <c r="C74" s="24"/>
      <c r="D74" s="20"/>
    </row>
    <row r="75" spans="2:4" x14ac:dyDescent="0.3">
      <c r="B75" s="21" t="s">
        <v>67</v>
      </c>
    </row>
    <row r="76" spans="2:4" ht="6" customHeight="1" x14ac:dyDescent="0.3">
      <c r="B76" s="21"/>
    </row>
    <row r="77" spans="2:4" x14ac:dyDescent="0.3">
      <c r="B77" s="19" t="s">
        <v>68</v>
      </c>
      <c r="C77" s="25">
        <f>1000*C27/100</f>
        <v>300</v>
      </c>
      <c r="D77" s="2" t="s">
        <v>18</v>
      </c>
    </row>
    <row r="78" spans="2:4" x14ac:dyDescent="0.3">
      <c r="B78" s="19" t="s">
        <v>65</v>
      </c>
      <c r="C78" s="26">
        <f>1000*C28/100</f>
        <v>7.9</v>
      </c>
      <c r="D78" s="27" t="s">
        <v>18</v>
      </c>
    </row>
    <row r="79" spans="2:4" ht="6" customHeight="1" x14ac:dyDescent="0.3">
      <c r="B79" s="19"/>
      <c r="C79" s="28"/>
      <c r="D79" s="27"/>
    </row>
    <row r="80" spans="2:4" x14ac:dyDescent="0.3">
      <c r="B80" s="21" t="s">
        <v>69</v>
      </c>
      <c r="C80" s="29">
        <f>SUM(C77:C78)</f>
        <v>307.89999999999998</v>
      </c>
      <c r="D80" s="30" t="s">
        <v>18</v>
      </c>
    </row>
    <row r="82" spans="2:4" x14ac:dyDescent="0.3">
      <c r="B82" s="3" t="s">
        <v>15</v>
      </c>
      <c r="C82" s="26">
        <f>C54*C80/1000</f>
        <v>30.789999999999996</v>
      </c>
      <c r="D82" s="27" t="s">
        <v>16</v>
      </c>
    </row>
    <row r="84" spans="2:4" x14ac:dyDescent="0.3">
      <c r="B84" s="3" t="s">
        <v>45</v>
      </c>
      <c r="C84" s="26">
        <f>C56*C57*C80/1000</f>
        <v>123.77579999999999</v>
      </c>
      <c r="D84" s="27" t="s">
        <v>16</v>
      </c>
    </row>
    <row r="86" spans="2:4" x14ac:dyDescent="0.3">
      <c r="B86" s="3" t="s">
        <v>70</v>
      </c>
      <c r="C86" s="22">
        <f>1000*(C30-C31)*C17/(C13*3600)</f>
        <v>2.9683992592592592</v>
      </c>
      <c r="D86" s="23" t="s">
        <v>19</v>
      </c>
    </row>
    <row r="89" spans="2:4" x14ac:dyDescent="0.3">
      <c r="B89" s="66" t="s">
        <v>72</v>
      </c>
      <c r="C89" s="66"/>
      <c r="D89" s="66"/>
    </row>
    <row r="90" spans="2:4" ht="14.4" thickBot="1" x14ac:dyDescent="0.35"/>
    <row r="91" spans="2:4" ht="6" customHeight="1" thickTop="1" x14ac:dyDescent="0.3">
      <c r="B91" s="31"/>
      <c r="C91" s="32"/>
      <c r="D91" s="33"/>
    </row>
    <row r="92" spans="2:4" x14ac:dyDescent="0.3">
      <c r="B92" s="34" t="s">
        <v>20</v>
      </c>
      <c r="C92" s="35">
        <f>C13*0.5*C15*C40/(C23/100)/1000/(C16*C14)</f>
        <v>5.0366300366300368E-2</v>
      </c>
      <c r="D92" s="36" t="s">
        <v>1</v>
      </c>
    </row>
    <row r="93" spans="2:4" x14ac:dyDescent="0.3">
      <c r="B93" s="34" t="s">
        <v>96</v>
      </c>
      <c r="C93" s="35">
        <f>C73*C40/1000</f>
        <v>44.280924137302478</v>
      </c>
      <c r="D93" s="37" t="s">
        <v>1</v>
      </c>
    </row>
    <row r="94" spans="2:4" ht="15" x14ac:dyDescent="0.35">
      <c r="B94" s="34" t="s">
        <v>100</v>
      </c>
      <c r="C94" s="35">
        <f>C73*0.903*56.1*3.6/1000/1000*C41</f>
        <v>11.746191739940301</v>
      </c>
      <c r="D94" s="37" t="s">
        <v>1</v>
      </c>
    </row>
    <row r="95" spans="2:4" x14ac:dyDescent="0.3">
      <c r="B95" s="34" t="s">
        <v>47</v>
      </c>
      <c r="C95" s="35">
        <f>C80*C43/1000</f>
        <v>0.76975000000000005</v>
      </c>
      <c r="D95" s="37" t="s">
        <v>1</v>
      </c>
    </row>
    <row r="96" spans="2:4" x14ac:dyDescent="0.3">
      <c r="B96" s="34" t="s">
        <v>48</v>
      </c>
      <c r="C96" s="35">
        <f>C82*C44/1000</f>
        <v>0.15394999999999998</v>
      </c>
      <c r="D96" s="37" t="s">
        <v>1</v>
      </c>
    </row>
    <row r="97" spans="2:4" x14ac:dyDescent="0.3">
      <c r="B97" s="34" t="s">
        <v>49</v>
      </c>
      <c r="C97" s="35">
        <f>C84*C45/1000</f>
        <v>3.0943949999999998E-2</v>
      </c>
      <c r="D97" s="37" t="s">
        <v>1</v>
      </c>
    </row>
    <row r="98" spans="2:4" x14ac:dyDescent="0.3">
      <c r="B98" s="34" t="s">
        <v>50</v>
      </c>
      <c r="C98" s="35">
        <f>C86*C42/1000</f>
        <v>0.52243826962962969</v>
      </c>
      <c r="D98" s="37" t="s">
        <v>1</v>
      </c>
    </row>
    <row r="99" spans="2:4" x14ac:dyDescent="0.3">
      <c r="B99" s="34" t="s">
        <v>21</v>
      </c>
      <c r="C99" s="35">
        <f>C78*C46/1000</f>
        <v>7.9000000000000008E-3</v>
      </c>
      <c r="D99" s="38" t="s">
        <v>1</v>
      </c>
    </row>
    <row r="100" spans="2:4" x14ac:dyDescent="0.3">
      <c r="B100" s="39" t="s">
        <v>90</v>
      </c>
      <c r="C100" s="40">
        <f>SUM(C92:C99)</f>
        <v>57.562464397238713</v>
      </c>
      <c r="D100" s="37" t="s">
        <v>1</v>
      </c>
    </row>
    <row r="101" spans="2:4" x14ac:dyDescent="0.3">
      <c r="B101" s="34" t="s">
        <v>22</v>
      </c>
      <c r="C101" s="13"/>
      <c r="D101" s="37"/>
    </row>
    <row r="102" spans="2:4" x14ac:dyDescent="0.3">
      <c r="B102" s="34" t="s">
        <v>51</v>
      </c>
      <c r="C102" s="35">
        <f>C37*C50*1000/(100*C14*C16*1000)</f>
        <v>0.13461538461538461</v>
      </c>
      <c r="D102" s="37" t="s">
        <v>1</v>
      </c>
    </row>
    <row r="103" spans="2:4" ht="4.5" customHeight="1" x14ac:dyDescent="0.3">
      <c r="B103" s="34" t="s">
        <v>23</v>
      </c>
      <c r="C103" s="13"/>
      <c r="D103" s="37"/>
    </row>
    <row r="104" spans="2:4" x14ac:dyDescent="0.3">
      <c r="B104" s="34" t="s">
        <v>73</v>
      </c>
      <c r="C104" s="35">
        <f>C37*1000/(C38*C14*C16*1000)</f>
        <v>0.44871794871794873</v>
      </c>
      <c r="D104" s="37" t="s">
        <v>1</v>
      </c>
    </row>
    <row r="105" spans="2:4" ht="4.5" customHeight="1" thickBot="1" x14ac:dyDescent="0.35">
      <c r="B105" s="34"/>
      <c r="C105" s="41"/>
      <c r="D105" s="37"/>
    </row>
    <row r="106" spans="2:4" ht="6" customHeight="1" thickTop="1" x14ac:dyDescent="0.3">
      <c r="B106" s="31" t="s">
        <v>24</v>
      </c>
      <c r="C106" s="42"/>
      <c r="D106" s="43"/>
    </row>
    <row r="107" spans="2:4" x14ac:dyDescent="0.3">
      <c r="B107" s="39" t="s">
        <v>52</v>
      </c>
      <c r="C107" s="22">
        <f>C100+C102+C104</f>
        <v>58.145797730572049</v>
      </c>
      <c r="D107" s="37" t="s">
        <v>1</v>
      </c>
    </row>
    <row r="108" spans="2:4" ht="6" customHeight="1" thickBot="1" x14ac:dyDescent="0.35">
      <c r="B108" s="44"/>
      <c r="C108" s="45"/>
      <c r="D108" s="46"/>
    </row>
    <row r="109" spans="2:4" ht="14.4" thickTop="1" x14ac:dyDescent="0.3"/>
    <row r="112" spans="2:4" x14ac:dyDescent="0.3">
      <c r="B112" s="1" t="str">
        <f>B93</f>
        <v xml:space="preserve"> Kost aardgas</v>
      </c>
      <c r="C112" s="5">
        <f>C93</f>
        <v>44.280924137302478</v>
      </c>
    </row>
    <row r="113" spans="2:3" x14ac:dyDescent="0.3">
      <c r="B113" s="1" t="str">
        <f>B94</f>
        <v xml:space="preserve"> Kost CO2</v>
      </c>
      <c r="C113" s="5">
        <f>C94</f>
        <v>11.746191739940301</v>
      </c>
    </row>
    <row r="114" spans="2:3" x14ac:dyDescent="0.3">
      <c r="B114" s="1" t="s">
        <v>102</v>
      </c>
      <c r="C114" s="5">
        <f>C95+C99</f>
        <v>0.77765000000000006</v>
      </c>
    </row>
    <row r="115" spans="2:3" x14ac:dyDescent="0.3">
      <c r="B115" s="1" t="str">
        <f>B104</f>
        <v xml:space="preserve"> Afschrijving van de investering (15 jaar)</v>
      </c>
      <c r="C115" s="5">
        <f>C104</f>
        <v>0.44871794871794873</v>
      </c>
    </row>
    <row r="116" spans="2:3" x14ac:dyDescent="0.3">
      <c r="B116" s="1" t="s">
        <v>101</v>
      </c>
      <c r="C116" s="5">
        <f>C96+C97</f>
        <v>0.18489394999999997</v>
      </c>
    </row>
    <row r="117" spans="2:3" x14ac:dyDescent="0.3">
      <c r="B117" s="1" t="str">
        <f>B98</f>
        <v xml:space="preserve"> Kost elektriciteit</v>
      </c>
      <c r="C117" s="5">
        <f>C98</f>
        <v>0.52243826962962969</v>
      </c>
    </row>
    <row r="118" spans="2:3" x14ac:dyDescent="0.3">
      <c r="B118" s="1" t="s">
        <v>51</v>
      </c>
      <c r="C118" s="5">
        <f>C102</f>
        <v>0.13461538461538461</v>
      </c>
    </row>
    <row r="119" spans="2:3" x14ac:dyDescent="0.3">
      <c r="B119" s="1" t="str">
        <f>B92</f>
        <v xml:space="preserve"> Opstartkosten ketels</v>
      </c>
      <c r="C119" s="5">
        <f>C92</f>
        <v>5.0366300366300368E-2</v>
      </c>
    </row>
    <row r="154" spans="6:18" x14ac:dyDescent="0.3">
      <c r="H154" s="1" t="s">
        <v>104</v>
      </c>
    </row>
    <row r="155" spans="6:18" x14ac:dyDescent="0.3">
      <c r="H155" s="1" t="s">
        <v>105</v>
      </c>
      <c r="I155" s="1" t="s">
        <v>106</v>
      </c>
      <c r="J155" s="1" t="s">
        <v>107</v>
      </c>
      <c r="K155" s="1" t="s">
        <v>108</v>
      </c>
      <c r="L155" s="1" t="s">
        <v>109</v>
      </c>
      <c r="M155" s="1" t="s">
        <v>110</v>
      </c>
      <c r="N155" s="1" t="s">
        <v>111</v>
      </c>
      <c r="O155" s="1" t="s">
        <v>112</v>
      </c>
      <c r="P155" s="1" t="s">
        <v>113</v>
      </c>
      <c r="Q155" s="1" t="s">
        <v>114</v>
      </c>
      <c r="R155" s="1" t="s">
        <v>115</v>
      </c>
    </row>
    <row r="156" spans="6:18" x14ac:dyDescent="0.3">
      <c r="G156" s="5">
        <f>C107</f>
        <v>58.145797730572049</v>
      </c>
      <c r="H156" s="1">
        <v>50</v>
      </c>
      <c r="I156" s="1">
        <v>60</v>
      </c>
      <c r="J156" s="1">
        <v>70</v>
      </c>
      <c r="K156" s="1">
        <v>80</v>
      </c>
      <c r="L156" s="1">
        <v>90</v>
      </c>
      <c r="M156" s="1">
        <v>100</v>
      </c>
      <c r="N156" s="1">
        <v>110</v>
      </c>
      <c r="O156" s="1">
        <v>120</v>
      </c>
      <c r="P156" s="1">
        <v>130</v>
      </c>
      <c r="Q156" s="1">
        <v>140</v>
      </c>
      <c r="R156" s="1">
        <v>150</v>
      </c>
    </row>
    <row r="157" spans="6:18" x14ac:dyDescent="0.3">
      <c r="F157" s="1" t="s">
        <v>103</v>
      </c>
      <c r="G157" s="1">
        <v>30</v>
      </c>
      <c r="H157" s="61">
        <f t="dataTable" ref="H157:R169" dt2D="1" dtr="1" r1="C41" r2="C40"/>
        <v>33.590389265517722</v>
      </c>
      <c r="I157" s="61">
        <v>35.058663233010265</v>
      </c>
      <c r="J157" s="61">
        <v>36.5269372005028</v>
      </c>
      <c r="K157" s="61">
        <v>37.995211167995336</v>
      </c>
      <c r="L157" s="61">
        <v>39.463485135487872</v>
      </c>
      <c r="M157" s="61">
        <v>40.931759102980415</v>
      </c>
      <c r="N157" s="61">
        <v>42.400033070472951</v>
      </c>
      <c r="O157" s="61">
        <v>43.868307037965486</v>
      </c>
      <c r="P157" s="61">
        <v>45.336581005458029</v>
      </c>
      <c r="Q157" s="61">
        <v>46.804854972950565</v>
      </c>
      <c r="R157" s="61">
        <v>48.273128940443101</v>
      </c>
    </row>
    <row r="158" spans="6:18" x14ac:dyDescent="0.3">
      <c r="G158" s="1">
        <v>40</v>
      </c>
      <c r="H158" s="61">
        <v>41.650623890548403</v>
      </c>
      <c r="I158" s="61">
        <v>43.118897858040938</v>
      </c>
      <c r="J158" s="61">
        <v>44.587171825533481</v>
      </c>
      <c r="K158" s="61">
        <v>46.055445793026017</v>
      </c>
      <c r="L158" s="61">
        <v>47.52371976051856</v>
      </c>
      <c r="M158" s="61">
        <v>48.991993728011096</v>
      </c>
      <c r="N158" s="61">
        <v>50.460267695503632</v>
      </c>
      <c r="O158" s="61">
        <v>51.928541662996167</v>
      </c>
      <c r="P158" s="61">
        <v>53.396815630488703</v>
      </c>
      <c r="Q158" s="61">
        <v>54.865089597981239</v>
      </c>
      <c r="R158" s="61">
        <v>56.333363565473782</v>
      </c>
    </row>
    <row r="159" spans="6:18" x14ac:dyDescent="0.3">
      <c r="G159" s="1">
        <v>50</v>
      </c>
      <c r="H159" s="61">
        <v>49.710858515579091</v>
      </c>
      <c r="I159" s="61">
        <v>51.179132483071626</v>
      </c>
      <c r="J159" s="61">
        <v>52.647406450564169</v>
      </c>
      <c r="K159" s="61">
        <v>54.115680418056705</v>
      </c>
      <c r="L159" s="61">
        <v>55.583954385549248</v>
      </c>
      <c r="M159" s="61">
        <v>57.052228353041784</v>
      </c>
      <c r="N159" s="61">
        <v>58.52050232053432</v>
      </c>
      <c r="O159" s="61">
        <v>59.988776288026855</v>
      </c>
      <c r="P159" s="61">
        <v>61.457050255519391</v>
      </c>
      <c r="Q159" s="61">
        <v>62.925324223011927</v>
      </c>
      <c r="R159" s="61">
        <v>64.393598190504463</v>
      </c>
    </row>
    <row r="160" spans="6:18" x14ac:dyDescent="0.3">
      <c r="G160" s="1">
        <v>60</v>
      </c>
      <c r="H160" s="61">
        <v>57.771093140609786</v>
      </c>
      <c r="I160" s="61">
        <v>59.239367108102329</v>
      </c>
      <c r="J160" s="61">
        <v>60.707641075594864</v>
      </c>
      <c r="K160" s="61">
        <v>62.1759150430874</v>
      </c>
      <c r="L160" s="61">
        <v>63.644189010579936</v>
      </c>
      <c r="M160" s="61">
        <v>65.112462978072472</v>
      </c>
      <c r="N160" s="61">
        <v>66.580736945565008</v>
      </c>
      <c r="O160" s="61">
        <v>68.049010913057543</v>
      </c>
      <c r="P160" s="61">
        <v>69.517284880550079</v>
      </c>
      <c r="Q160" s="61">
        <v>70.985558848042615</v>
      </c>
      <c r="R160" s="61">
        <v>72.453832815535151</v>
      </c>
    </row>
    <row r="161" spans="3:18" x14ac:dyDescent="0.3">
      <c r="G161" s="1">
        <v>70</v>
      </c>
      <c r="H161" s="61">
        <v>65.831327765640452</v>
      </c>
      <c r="I161" s="61">
        <v>67.299601733132988</v>
      </c>
      <c r="J161" s="61">
        <v>68.767875700625524</v>
      </c>
      <c r="K161" s="61">
        <v>70.23614966811806</v>
      </c>
      <c r="L161" s="61">
        <v>71.70442363561061</v>
      </c>
      <c r="M161" s="61">
        <v>73.172697603103146</v>
      </c>
      <c r="N161" s="61">
        <v>74.640971570595681</v>
      </c>
      <c r="O161" s="61">
        <v>76.109245538088217</v>
      </c>
      <c r="P161" s="61">
        <v>77.577519505580753</v>
      </c>
      <c r="Q161" s="61">
        <v>79.045793473073289</v>
      </c>
      <c r="R161" s="61">
        <v>80.514067440565839</v>
      </c>
    </row>
    <row r="162" spans="3:18" x14ac:dyDescent="0.3">
      <c r="G162" s="1">
        <v>80</v>
      </c>
      <c r="H162" s="61">
        <v>73.89156239067114</v>
      </c>
      <c r="I162" s="61">
        <v>75.359836358163676</v>
      </c>
      <c r="J162" s="61">
        <v>76.828110325656212</v>
      </c>
      <c r="K162" s="61">
        <v>78.296384293148748</v>
      </c>
      <c r="L162" s="61">
        <v>79.764658260641284</v>
      </c>
      <c r="M162" s="61">
        <v>81.232932228133819</v>
      </c>
      <c r="N162" s="61">
        <v>82.701206195626355</v>
      </c>
      <c r="O162" s="61">
        <v>84.169480163118891</v>
      </c>
      <c r="P162" s="61">
        <v>85.637754130611441</v>
      </c>
      <c r="Q162" s="61">
        <v>87.106028098103977</v>
      </c>
      <c r="R162" s="61">
        <v>88.574302065596513</v>
      </c>
    </row>
    <row r="163" spans="3:18" x14ac:dyDescent="0.3">
      <c r="G163" s="1">
        <v>90</v>
      </c>
      <c r="H163" s="61">
        <v>81.951797015701828</v>
      </c>
      <c r="I163" s="61">
        <v>83.420070983194364</v>
      </c>
      <c r="J163" s="61">
        <v>84.8883449506869</v>
      </c>
      <c r="K163" s="61">
        <v>86.356618918179436</v>
      </c>
      <c r="L163" s="61">
        <v>87.824892885671971</v>
      </c>
      <c r="M163" s="61">
        <v>89.293166853164507</v>
      </c>
      <c r="N163" s="61">
        <v>90.761440820657043</v>
      </c>
      <c r="O163" s="61">
        <v>92.229714788149579</v>
      </c>
      <c r="P163" s="61">
        <v>93.697988755642129</v>
      </c>
      <c r="Q163" s="61">
        <v>95.166262723134665</v>
      </c>
      <c r="R163" s="61">
        <v>96.634536690627201</v>
      </c>
    </row>
    <row r="164" spans="3:18" x14ac:dyDescent="0.3">
      <c r="G164" s="1">
        <v>100</v>
      </c>
      <c r="H164" s="61">
        <v>90.012031640732516</v>
      </c>
      <c r="I164" s="61">
        <v>91.480305608225052</v>
      </c>
      <c r="J164" s="61">
        <v>92.948579575717588</v>
      </c>
      <c r="K164" s="61">
        <v>94.416853543210124</v>
      </c>
      <c r="L164" s="61">
        <v>95.885127510702659</v>
      </c>
      <c r="M164" s="61">
        <v>97.353401478195195</v>
      </c>
      <c r="N164" s="61">
        <v>98.821675445687731</v>
      </c>
      <c r="O164" s="61">
        <v>100.28994941318027</v>
      </c>
      <c r="P164" s="61">
        <v>101.75822338067282</v>
      </c>
      <c r="Q164" s="61">
        <v>103.22649734816535</v>
      </c>
      <c r="R164" s="61">
        <v>104.69477131565789</v>
      </c>
    </row>
    <row r="165" spans="3:18" x14ac:dyDescent="0.3">
      <c r="G165" s="1">
        <v>110</v>
      </c>
      <c r="H165" s="61">
        <v>98.072266265763204</v>
      </c>
      <c r="I165" s="61">
        <v>99.54054023325574</v>
      </c>
      <c r="J165" s="61">
        <v>101.00881420074828</v>
      </c>
      <c r="K165" s="61">
        <v>102.47708816824081</v>
      </c>
      <c r="L165" s="61">
        <v>103.94536213573335</v>
      </c>
      <c r="M165" s="61">
        <v>105.41363610322588</v>
      </c>
      <c r="N165" s="61">
        <v>106.88191007071842</v>
      </c>
      <c r="O165" s="61">
        <v>108.35018403821095</v>
      </c>
      <c r="P165" s="61">
        <v>109.8184580057035</v>
      </c>
      <c r="Q165" s="61">
        <v>111.28673197319604</v>
      </c>
      <c r="R165" s="61">
        <v>112.75500594068858</v>
      </c>
    </row>
    <row r="166" spans="3:18" x14ac:dyDescent="0.3">
      <c r="G166" s="1">
        <v>120</v>
      </c>
      <c r="H166" s="61">
        <v>106.13250089079391</v>
      </c>
      <c r="I166" s="61">
        <v>107.60077485828644</v>
      </c>
      <c r="J166" s="61">
        <v>109.06904882577898</v>
      </c>
      <c r="K166" s="61">
        <v>110.53732279327151</v>
      </c>
      <c r="L166" s="61">
        <v>112.00559676076405</v>
      </c>
      <c r="M166" s="61">
        <v>113.47387072825659</v>
      </c>
      <c r="N166" s="61">
        <v>114.94214469574914</v>
      </c>
      <c r="O166" s="61">
        <v>116.41041866324167</v>
      </c>
      <c r="P166" s="61">
        <v>117.87869263073421</v>
      </c>
      <c r="Q166" s="61">
        <v>119.34696659822674</v>
      </c>
      <c r="R166" s="61">
        <v>120.81524056571928</v>
      </c>
    </row>
    <row r="167" spans="3:18" x14ac:dyDescent="0.3">
      <c r="G167" s="1">
        <v>130</v>
      </c>
      <c r="H167" s="61">
        <v>114.19273551582459</v>
      </c>
      <c r="I167" s="61">
        <v>115.66100948331713</v>
      </c>
      <c r="J167" s="61">
        <v>117.12928345080967</v>
      </c>
      <c r="K167" s="61">
        <v>118.5975574183022</v>
      </c>
      <c r="L167" s="61">
        <v>120.06583138579474</v>
      </c>
      <c r="M167" s="61">
        <v>121.53410535328727</v>
      </c>
      <c r="N167" s="61">
        <v>123.00237932077982</v>
      </c>
      <c r="O167" s="61">
        <v>124.47065328827236</v>
      </c>
      <c r="P167" s="61">
        <v>125.9389272557649</v>
      </c>
      <c r="Q167" s="61">
        <v>127.40720122325743</v>
      </c>
      <c r="R167" s="61">
        <v>128.87547519074997</v>
      </c>
    </row>
    <row r="168" spans="3:18" x14ac:dyDescent="0.3">
      <c r="G168" s="1">
        <v>140</v>
      </c>
      <c r="H168" s="61">
        <v>122.25297014085527</v>
      </c>
      <c r="I168" s="61">
        <v>123.7212441083478</v>
      </c>
      <c r="J168" s="61">
        <v>125.18951807584034</v>
      </c>
      <c r="K168" s="61">
        <v>126.65779204333288</v>
      </c>
      <c r="L168" s="61">
        <v>128.12606601082541</v>
      </c>
      <c r="M168" s="61">
        <v>129.59433997831795</v>
      </c>
      <c r="N168" s="61">
        <v>131.06261394581048</v>
      </c>
      <c r="O168" s="61">
        <v>132.53088791330302</v>
      </c>
      <c r="P168" s="61">
        <v>133.99916188079555</v>
      </c>
      <c r="Q168" s="61">
        <v>135.46743584828809</v>
      </c>
      <c r="R168" s="61">
        <v>136.93570981578065</v>
      </c>
    </row>
    <row r="169" spans="3:18" x14ac:dyDescent="0.3">
      <c r="G169" s="1">
        <v>150</v>
      </c>
      <c r="H169" s="61">
        <v>130.31320476588596</v>
      </c>
      <c r="I169" s="61">
        <v>131.78147873337849</v>
      </c>
      <c r="J169" s="61">
        <v>133.24975270087103</v>
      </c>
      <c r="K169" s="61">
        <v>134.71802666836356</v>
      </c>
      <c r="L169" s="61">
        <v>136.1863006358561</v>
      </c>
      <c r="M169" s="61">
        <v>137.65457460334864</v>
      </c>
      <c r="N169" s="61">
        <v>139.12284857084117</v>
      </c>
      <c r="O169" s="61">
        <v>140.59112253833371</v>
      </c>
      <c r="P169" s="61">
        <v>142.05939650582624</v>
      </c>
      <c r="Q169" s="61">
        <v>143.52767047331878</v>
      </c>
      <c r="R169" s="61">
        <v>144.99594444081131</v>
      </c>
    </row>
    <row r="171" spans="3:18" x14ac:dyDescent="0.3">
      <c r="C171" s="1" t="s">
        <v>97</v>
      </c>
    </row>
    <row r="172" spans="3:18" x14ac:dyDescent="0.3">
      <c r="C172" s="1" t="s">
        <v>92</v>
      </c>
      <c r="F172" s="6"/>
    </row>
    <row r="173" spans="3:18" x14ac:dyDescent="0.3">
      <c r="C173" s="1" t="s">
        <v>93</v>
      </c>
      <c r="F173" s="6"/>
    </row>
    <row r="174" spans="3:18" x14ac:dyDescent="0.3">
      <c r="C174" s="1" t="s">
        <v>29</v>
      </c>
      <c r="F174" s="6"/>
    </row>
    <row r="175" spans="3:18" x14ac:dyDescent="0.3">
      <c r="F175" s="6"/>
    </row>
    <row r="176" spans="3:18" x14ac:dyDescent="0.3">
      <c r="F176" s="6"/>
    </row>
    <row r="177" spans="3:3" x14ac:dyDescent="0.3">
      <c r="C177" s="47" t="s">
        <v>28</v>
      </c>
    </row>
    <row r="178" spans="3:3" x14ac:dyDescent="0.3">
      <c r="C178" s="48" t="s">
        <v>74</v>
      </c>
    </row>
    <row r="180" spans="3:3" x14ac:dyDescent="0.3">
      <c r="C180" s="47"/>
    </row>
    <row r="181" spans="3:3" x14ac:dyDescent="0.3">
      <c r="C181" s="47"/>
    </row>
    <row r="182" spans="3:3" x14ac:dyDescent="0.3">
      <c r="C182" s="47"/>
    </row>
    <row r="183" spans="3:3" x14ac:dyDescent="0.3">
      <c r="C183" s="47"/>
    </row>
    <row r="184" spans="3:3" x14ac:dyDescent="0.3">
      <c r="C184" s="47"/>
    </row>
  </sheetData>
  <mergeCells count="4">
    <mergeCell ref="B2:D2"/>
    <mergeCell ref="B9:D9"/>
    <mergeCell ref="B65:D65"/>
    <mergeCell ref="B89:D89"/>
  </mergeCells>
  <phoneticPr fontId="0" type="noConversion"/>
  <hyperlinks>
    <hyperlink ref="C177" r:id="rId1" xr:uid="{00000000-0004-0000-0000-000000000000}"/>
    <hyperlink ref="C178" r:id="rId2" xr:uid="{00000000-0004-0000-0000-000001000000}"/>
  </hyperlink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3"/>
  <headerFooter alignWithMargins="0">
    <oddFooter>&amp;R&amp;P/&amp;N</oddFooter>
  </headerFooter>
  <rowBreaks count="1" manualBreakCount="1">
    <brk id="63" min="1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B1:O98"/>
  <sheetViews>
    <sheetView showGridLines="0" zoomScaleNormal="100" zoomScaleSheetLayoutView="100" workbookViewId="0">
      <selection activeCell="O11" sqref="O11"/>
    </sheetView>
  </sheetViews>
  <sheetFormatPr defaultColWidth="9.6640625" defaultRowHeight="13.8" x14ac:dyDescent="0.3"/>
  <cols>
    <col min="1" max="1" width="8.88671875" style="59" customWidth="1"/>
    <col min="2" max="2" width="6.44140625" style="59" bestFit="1" customWidth="1"/>
    <col min="3" max="3" width="9" style="59" customWidth="1"/>
    <col min="4" max="4" width="8.33203125" style="59" customWidth="1"/>
    <col min="5" max="5" width="8.5546875" style="59" customWidth="1"/>
    <col min="6" max="6" width="9" style="59" customWidth="1"/>
    <col min="7" max="7" width="7.33203125" style="59" customWidth="1"/>
    <col min="8" max="8" width="8.5546875" style="59" customWidth="1"/>
    <col min="9" max="9" width="8" style="59" customWidth="1"/>
    <col min="10" max="10" width="11" style="59" customWidth="1"/>
    <col min="11" max="11" width="9.109375" style="59" customWidth="1"/>
    <col min="12" max="16384" width="9.6640625" style="59"/>
  </cols>
  <sheetData>
    <row r="1" spans="2:12" s="49" customFormat="1" x14ac:dyDescent="0.3"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</row>
    <row r="2" spans="2:12" s="49" customFormat="1" x14ac:dyDescent="0.3"/>
    <row r="3" spans="2:12" s="50" customFormat="1" x14ac:dyDescent="0.3">
      <c r="E3" s="50" t="s">
        <v>26</v>
      </c>
      <c r="H3" s="50" t="s">
        <v>27</v>
      </c>
      <c r="J3" s="67" t="s">
        <v>82</v>
      </c>
      <c r="K3" s="67"/>
    </row>
    <row r="4" spans="2:12" s="50" customFormat="1" x14ac:dyDescent="0.3">
      <c r="B4" s="50" t="s">
        <v>89</v>
      </c>
      <c r="C4" s="50" t="s">
        <v>88</v>
      </c>
      <c r="D4" s="50" t="s">
        <v>85</v>
      </c>
      <c r="E4" s="50" t="s">
        <v>87</v>
      </c>
      <c r="F4" s="50" t="s">
        <v>86</v>
      </c>
      <c r="G4" s="50" t="s">
        <v>85</v>
      </c>
      <c r="H4" s="50" t="s">
        <v>87</v>
      </c>
      <c r="I4" s="50" t="s">
        <v>86</v>
      </c>
      <c r="J4" s="50" t="s">
        <v>85</v>
      </c>
      <c r="K4" s="50" t="s">
        <v>84</v>
      </c>
    </row>
    <row r="5" spans="2:12" s="50" customFormat="1" x14ac:dyDescent="0.3">
      <c r="B5" s="50" t="s">
        <v>80</v>
      </c>
      <c r="C5" s="50" t="s">
        <v>8</v>
      </c>
      <c r="D5" s="50" t="s">
        <v>12</v>
      </c>
      <c r="E5" s="50" t="s">
        <v>12</v>
      </c>
      <c r="F5" s="50" t="s">
        <v>12</v>
      </c>
      <c r="G5" s="50" t="s">
        <v>81</v>
      </c>
      <c r="H5" s="50" t="s">
        <v>81</v>
      </c>
      <c r="I5" s="50" t="s">
        <v>81</v>
      </c>
      <c r="J5" s="50" t="s">
        <v>83</v>
      </c>
      <c r="K5" s="50" t="s">
        <v>83</v>
      </c>
    </row>
    <row r="6" spans="2:12" s="50" customFormat="1" x14ac:dyDescent="0.3">
      <c r="B6" s="51"/>
    </row>
    <row r="7" spans="2:12" s="49" customFormat="1" x14ac:dyDescent="0.3">
      <c r="B7" s="52">
        <v>0</v>
      </c>
      <c r="C7" s="53">
        <v>100</v>
      </c>
      <c r="D7" s="54">
        <v>417.51</v>
      </c>
      <c r="E7" s="54">
        <v>2257.9</v>
      </c>
      <c r="F7" s="54">
        <v>2675.41</v>
      </c>
      <c r="G7" s="54">
        <f t="shared" ref="G7:G38" si="0">D7/4.186</f>
        <v>99.73960821786909</v>
      </c>
      <c r="H7" s="54">
        <f t="shared" ref="H7:H38" si="1">E7/4.186</f>
        <v>539.39321548017199</v>
      </c>
      <c r="I7" s="54">
        <f t="shared" ref="I7:I38" si="2">F7/4.186</f>
        <v>639.13282369804108</v>
      </c>
      <c r="J7" s="55">
        <v>1.0430000000000001E-3</v>
      </c>
      <c r="K7" s="56">
        <v>1.694</v>
      </c>
      <c r="L7" s="49">
        <v>0</v>
      </c>
    </row>
    <row r="8" spans="2:12" s="49" customFormat="1" x14ac:dyDescent="0.3">
      <c r="B8" s="57">
        <v>0.5</v>
      </c>
      <c r="C8" s="49">
        <v>111.4</v>
      </c>
      <c r="D8" s="54">
        <f>111.6*4.186</f>
        <v>467.15759999999995</v>
      </c>
      <c r="E8" s="54">
        <f>531.8*4.186</f>
        <v>2226.1147999999998</v>
      </c>
      <c r="F8" s="54">
        <f>643.4*4.186</f>
        <v>2693.2723999999998</v>
      </c>
      <c r="G8" s="49">
        <f t="shared" si="0"/>
        <v>111.6</v>
      </c>
      <c r="H8" s="49">
        <f t="shared" si="1"/>
        <v>531.79999999999995</v>
      </c>
      <c r="I8" s="49">
        <f t="shared" si="2"/>
        <v>643.4</v>
      </c>
      <c r="J8" s="49">
        <v>1.0510000000000001E-3</v>
      </c>
      <c r="K8" s="56">
        <v>1.159</v>
      </c>
      <c r="L8" s="49">
        <v>1</v>
      </c>
    </row>
    <row r="9" spans="2:12" s="49" customFormat="1" x14ac:dyDescent="0.3">
      <c r="B9" s="57">
        <v>1</v>
      </c>
      <c r="C9" s="53">
        <v>120.23</v>
      </c>
      <c r="D9" s="54">
        <v>504.7</v>
      </c>
      <c r="E9" s="54">
        <v>2201.6</v>
      </c>
      <c r="F9" s="54">
        <v>2706.3</v>
      </c>
      <c r="G9" s="54">
        <f t="shared" si="0"/>
        <v>120.5685618729097</v>
      </c>
      <c r="H9" s="54">
        <f t="shared" si="1"/>
        <v>525.94362159579555</v>
      </c>
      <c r="I9" s="54">
        <f t="shared" si="2"/>
        <v>646.5121834687053</v>
      </c>
      <c r="J9" s="55">
        <v>1.06E-3</v>
      </c>
      <c r="K9" s="56">
        <v>0.88539999999999996</v>
      </c>
      <c r="L9" s="49">
        <v>2</v>
      </c>
    </row>
    <row r="10" spans="2:12" s="49" customFormat="1" x14ac:dyDescent="0.3">
      <c r="B10" s="57">
        <v>1.2</v>
      </c>
      <c r="C10" s="53">
        <v>123.27</v>
      </c>
      <c r="D10" s="54">
        <v>517.62</v>
      </c>
      <c r="E10" s="54">
        <v>2193</v>
      </c>
      <c r="F10" s="54">
        <v>2710.62</v>
      </c>
      <c r="G10" s="54">
        <f t="shared" si="0"/>
        <v>123.65504061156236</v>
      </c>
      <c r="H10" s="54">
        <f t="shared" si="1"/>
        <v>523.88915432393696</v>
      </c>
      <c r="I10" s="54">
        <f t="shared" si="2"/>
        <v>647.54419493549926</v>
      </c>
      <c r="J10" s="55">
        <v>1.0629999999999999E-3</v>
      </c>
      <c r="K10" s="56">
        <v>0.80979999999999996</v>
      </c>
      <c r="L10" s="49">
        <v>3</v>
      </c>
    </row>
    <row r="11" spans="2:12" s="49" customFormat="1" x14ac:dyDescent="0.3">
      <c r="B11" s="57">
        <v>1.4</v>
      </c>
      <c r="C11" s="53">
        <v>126.09</v>
      </c>
      <c r="D11" s="54">
        <v>529.64</v>
      </c>
      <c r="E11" s="54">
        <v>2184.9</v>
      </c>
      <c r="F11" s="54">
        <v>2714.54</v>
      </c>
      <c r="G11" s="54">
        <f t="shared" si="0"/>
        <v>126.52651696129956</v>
      </c>
      <c r="H11" s="54">
        <f t="shared" si="1"/>
        <v>521.95413282369805</v>
      </c>
      <c r="I11" s="54">
        <f t="shared" si="2"/>
        <v>648.48064978499758</v>
      </c>
      <c r="J11" s="55">
        <v>1.0660000000000001E-3</v>
      </c>
      <c r="K11" s="56">
        <v>0.74650000000000005</v>
      </c>
      <c r="L11" s="49">
        <v>4</v>
      </c>
    </row>
    <row r="12" spans="2:12" s="49" customFormat="1" x14ac:dyDescent="0.3">
      <c r="B12" s="57">
        <v>1.5</v>
      </c>
      <c r="C12" s="53">
        <v>127.43</v>
      </c>
      <c r="D12" s="54">
        <v>535.34</v>
      </c>
      <c r="E12" s="54">
        <v>2181</v>
      </c>
      <c r="F12" s="54">
        <v>2716.34</v>
      </c>
      <c r="G12" s="54">
        <f t="shared" si="0"/>
        <v>127.88819875776399</v>
      </c>
      <c r="H12" s="54">
        <f t="shared" si="1"/>
        <v>521.02245580506451</v>
      </c>
      <c r="I12" s="54">
        <f t="shared" si="2"/>
        <v>648.91065456282854</v>
      </c>
      <c r="J12" s="55">
        <v>1.067E-3</v>
      </c>
      <c r="K12" s="56">
        <v>0.71840000000000004</v>
      </c>
      <c r="L12" s="49">
        <v>5</v>
      </c>
    </row>
    <row r="13" spans="2:12" s="49" customFormat="1" x14ac:dyDescent="0.3">
      <c r="B13" s="57">
        <v>1.6</v>
      </c>
      <c r="C13" s="53">
        <v>128.72999999999999</v>
      </c>
      <c r="D13" s="54">
        <v>540.87</v>
      </c>
      <c r="E13" s="54">
        <v>2177.3000000000002</v>
      </c>
      <c r="F13" s="54">
        <v>2718.17</v>
      </c>
      <c r="G13" s="54">
        <f t="shared" si="0"/>
        <v>129.20926899187768</v>
      </c>
      <c r="H13" s="54">
        <f t="shared" si="1"/>
        <v>520.13855709507891</v>
      </c>
      <c r="I13" s="54">
        <f t="shared" si="2"/>
        <v>649.3478260869565</v>
      </c>
      <c r="J13" s="55">
        <v>1.0679999999999999E-3</v>
      </c>
      <c r="K13" s="56">
        <v>0.6925</v>
      </c>
      <c r="L13" s="49">
        <v>6</v>
      </c>
    </row>
    <row r="14" spans="2:12" s="49" customFormat="1" x14ac:dyDescent="0.3">
      <c r="B14" s="57">
        <v>1.8</v>
      </c>
      <c r="C14" s="53">
        <v>131.19999999999999</v>
      </c>
      <c r="D14" s="54">
        <v>551.44000000000005</v>
      </c>
      <c r="E14" s="54">
        <v>2170.1</v>
      </c>
      <c r="F14" s="54">
        <v>2721.54</v>
      </c>
      <c r="G14" s="54">
        <f t="shared" si="0"/>
        <v>131.73435260391784</v>
      </c>
      <c r="H14" s="54">
        <f t="shared" si="1"/>
        <v>518.41853798375541</v>
      </c>
      <c r="I14" s="54">
        <f t="shared" si="2"/>
        <v>650.15289058767314</v>
      </c>
      <c r="J14" s="55">
        <v>1.0709999999999999E-3</v>
      </c>
      <c r="K14" s="56">
        <v>0.64600000000000002</v>
      </c>
      <c r="L14" s="49">
        <v>7</v>
      </c>
    </row>
    <row r="15" spans="2:12" s="49" customFormat="1" x14ac:dyDescent="0.3">
      <c r="B15" s="57">
        <v>2</v>
      </c>
      <c r="C15" s="53">
        <v>133.54</v>
      </c>
      <c r="D15" s="54">
        <v>561.42999999999995</v>
      </c>
      <c r="E15" s="54">
        <v>2163.1999999999998</v>
      </c>
      <c r="F15" s="54">
        <v>2724.63</v>
      </c>
      <c r="G15" s="54">
        <f t="shared" si="0"/>
        <v>134.12087912087912</v>
      </c>
      <c r="H15" s="54">
        <f t="shared" si="1"/>
        <v>516.77018633540365</v>
      </c>
      <c r="I15" s="54">
        <f t="shared" si="2"/>
        <v>650.89106545628283</v>
      </c>
      <c r="J15" s="55">
        <v>1.073E-3</v>
      </c>
      <c r="K15" s="56">
        <v>0.60560000000000003</v>
      </c>
      <c r="L15" s="49">
        <v>8</v>
      </c>
    </row>
    <row r="16" spans="2:12" s="49" customFormat="1" x14ac:dyDescent="0.3">
      <c r="B16" s="57">
        <v>2.2000000000000002</v>
      </c>
      <c r="C16" s="53">
        <v>135.75</v>
      </c>
      <c r="D16" s="54">
        <v>570.9</v>
      </c>
      <c r="E16" s="54">
        <v>2156.6999999999998</v>
      </c>
      <c r="F16" s="54">
        <v>2727.6</v>
      </c>
      <c r="G16" s="54">
        <f t="shared" si="0"/>
        <v>136.38318203535596</v>
      </c>
      <c r="H16" s="54">
        <f t="shared" si="1"/>
        <v>515.21739130434776</v>
      </c>
      <c r="I16" s="54">
        <f t="shared" si="2"/>
        <v>651.60057333970371</v>
      </c>
      <c r="J16" s="55">
        <v>1.075E-3</v>
      </c>
      <c r="K16" s="56">
        <v>0.56999999999999995</v>
      </c>
      <c r="L16" s="49">
        <v>9</v>
      </c>
    </row>
    <row r="17" spans="2:12" s="49" customFormat="1" x14ac:dyDescent="0.3">
      <c r="B17" s="57">
        <v>2.4</v>
      </c>
      <c r="C17" s="53">
        <v>137.86000000000001</v>
      </c>
      <c r="D17" s="54">
        <v>579.91999999999996</v>
      </c>
      <c r="E17" s="54">
        <v>2150.4</v>
      </c>
      <c r="F17" s="54">
        <v>2730.32</v>
      </c>
      <c r="G17" s="54">
        <f t="shared" si="0"/>
        <v>138.53798375537505</v>
      </c>
      <c r="H17" s="54">
        <f t="shared" si="1"/>
        <v>513.7123745819398</v>
      </c>
      <c r="I17" s="54">
        <f t="shared" si="2"/>
        <v>652.25035833731488</v>
      </c>
      <c r="J17" s="55">
        <v>1.077E-3</v>
      </c>
      <c r="K17" s="56">
        <v>0.53849999999999998</v>
      </c>
      <c r="L17" s="49">
        <v>10</v>
      </c>
    </row>
    <row r="18" spans="2:12" s="49" customFormat="1" x14ac:dyDescent="0.3">
      <c r="B18" s="57">
        <v>2.6</v>
      </c>
      <c r="C18" s="53">
        <v>139.86000000000001</v>
      </c>
      <c r="D18" s="54">
        <v>588.53</v>
      </c>
      <c r="E18" s="54">
        <v>2144.4</v>
      </c>
      <c r="F18" s="54">
        <v>2732.93</v>
      </c>
      <c r="G18" s="54">
        <f t="shared" si="0"/>
        <v>140.59483994266603</v>
      </c>
      <c r="H18" s="54">
        <f t="shared" si="1"/>
        <v>512.27902532250357</v>
      </c>
      <c r="I18" s="54">
        <f t="shared" si="2"/>
        <v>652.87386526516957</v>
      </c>
      <c r="J18" s="55">
        <v>1.0790000000000001E-3</v>
      </c>
      <c r="K18" s="56">
        <v>0.51029999999999998</v>
      </c>
      <c r="L18" s="49">
        <v>11</v>
      </c>
    </row>
    <row r="19" spans="2:12" s="49" customFormat="1" x14ac:dyDescent="0.3">
      <c r="B19" s="57">
        <v>2.8</v>
      </c>
      <c r="C19" s="53">
        <v>141.78</v>
      </c>
      <c r="D19" s="54">
        <v>596.77</v>
      </c>
      <c r="E19" s="54">
        <v>2138.6</v>
      </c>
      <c r="F19" s="54">
        <v>2735.37</v>
      </c>
      <c r="G19" s="54">
        <f t="shared" si="0"/>
        <v>142.56330625895842</v>
      </c>
      <c r="H19" s="54">
        <f t="shared" si="1"/>
        <v>510.89345437171522</v>
      </c>
      <c r="I19" s="54">
        <f t="shared" si="2"/>
        <v>653.45676063067367</v>
      </c>
      <c r="J19" s="55">
        <v>1.0809999999999999E-3</v>
      </c>
      <c r="K19" s="56">
        <v>0.48509999999999998</v>
      </c>
      <c r="L19" s="49">
        <v>12</v>
      </c>
    </row>
    <row r="20" spans="2:12" s="49" customFormat="1" x14ac:dyDescent="0.3">
      <c r="B20" s="57">
        <v>3</v>
      </c>
      <c r="C20" s="53">
        <v>143.62</v>
      </c>
      <c r="D20" s="54">
        <v>604.66999999999996</v>
      </c>
      <c r="E20" s="54">
        <v>2133</v>
      </c>
      <c r="F20" s="54">
        <v>2737.67</v>
      </c>
      <c r="G20" s="54">
        <f t="shared" si="0"/>
        <v>144.45054945054943</v>
      </c>
      <c r="H20" s="54">
        <f t="shared" si="1"/>
        <v>509.55566172957481</v>
      </c>
      <c r="I20" s="54">
        <f t="shared" si="2"/>
        <v>654.0062111801243</v>
      </c>
      <c r="J20" s="55">
        <v>1.083E-3</v>
      </c>
      <c r="K20" s="56">
        <v>0.4622</v>
      </c>
      <c r="L20" s="49">
        <v>13</v>
      </c>
    </row>
    <row r="21" spans="2:12" s="49" customFormat="1" x14ac:dyDescent="0.3">
      <c r="B21" s="57">
        <v>3.5</v>
      </c>
      <c r="C21" s="53">
        <v>147.91999999999999</v>
      </c>
      <c r="D21" s="54">
        <v>623.16</v>
      </c>
      <c r="E21" s="54">
        <v>2119.6999999999998</v>
      </c>
      <c r="F21" s="54">
        <v>2742.86</v>
      </c>
      <c r="G21" s="54">
        <f t="shared" si="0"/>
        <v>148.86765408504539</v>
      </c>
      <c r="H21" s="54">
        <f t="shared" si="1"/>
        <v>506.37840420449112</v>
      </c>
      <c r="I21" s="54">
        <f t="shared" si="2"/>
        <v>655.24605828953656</v>
      </c>
      <c r="J21" s="55">
        <v>1.088E-3</v>
      </c>
      <c r="K21" s="56">
        <v>0.41320000000000001</v>
      </c>
      <c r="L21" s="49">
        <v>14</v>
      </c>
    </row>
    <row r="22" spans="2:12" s="49" customFormat="1" x14ac:dyDescent="0.3">
      <c r="B22" s="57">
        <v>4</v>
      </c>
      <c r="C22" s="53">
        <v>151.84</v>
      </c>
      <c r="D22" s="54">
        <v>640.12</v>
      </c>
      <c r="E22" s="54">
        <v>2107.4</v>
      </c>
      <c r="F22" s="54">
        <v>2747.52</v>
      </c>
      <c r="G22" s="54">
        <f t="shared" si="0"/>
        <v>152.91925465838509</v>
      </c>
      <c r="H22" s="54">
        <f t="shared" si="1"/>
        <v>503.44003822264693</v>
      </c>
      <c r="I22" s="54">
        <f t="shared" si="2"/>
        <v>656.35929288103205</v>
      </c>
      <c r="J22" s="55">
        <v>1.0920000000000001E-3</v>
      </c>
      <c r="K22" s="56">
        <v>0.37469999999999998</v>
      </c>
      <c r="L22" s="49">
        <v>15</v>
      </c>
    </row>
    <row r="23" spans="2:12" s="49" customFormat="1" x14ac:dyDescent="0.3">
      <c r="B23" s="57">
        <v>4.5</v>
      </c>
      <c r="C23" s="53">
        <v>155.46</v>
      </c>
      <c r="D23" s="54">
        <v>655.78</v>
      </c>
      <c r="E23" s="54">
        <v>2095.9</v>
      </c>
      <c r="F23" s="54">
        <v>2751.68</v>
      </c>
      <c r="G23" s="54">
        <f t="shared" si="0"/>
        <v>156.6602962255136</v>
      </c>
      <c r="H23" s="54">
        <f t="shared" si="1"/>
        <v>500.6927854753942</v>
      </c>
      <c r="I23" s="54">
        <f t="shared" si="2"/>
        <v>657.35308170090775</v>
      </c>
      <c r="J23" s="55">
        <v>1.0970000000000001E-3</v>
      </c>
      <c r="K23" s="56">
        <v>0.34250000000000003</v>
      </c>
      <c r="L23" s="49">
        <v>16</v>
      </c>
    </row>
    <row r="24" spans="2:12" s="49" customFormat="1" x14ac:dyDescent="0.3">
      <c r="B24" s="57">
        <v>5</v>
      </c>
      <c r="C24" s="53">
        <v>158.1</v>
      </c>
      <c r="D24" s="54">
        <v>670.42</v>
      </c>
      <c r="E24" s="54">
        <v>2085</v>
      </c>
      <c r="F24" s="54">
        <v>2755.42</v>
      </c>
      <c r="G24" s="54">
        <f t="shared" si="0"/>
        <v>160.15766841853798</v>
      </c>
      <c r="H24" s="54">
        <f t="shared" si="1"/>
        <v>498.08886765408505</v>
      </c>
      <c r="I24" s="54">
        <f t="shared" si="2"/>
        <v>658.24653607262303</v>
      </c>
      <c r="J24" s="55">
        <v>1.1000000000000001E-3</v>
      </c>
      <c r="K24" s="56">
        <v>0.3155</v>
      </c>
      <c r="L24" s="49">
        <v>17</v>
      </c>
    </row>
    <row r="25" spans="2:12" s="49" customFormat="1" x14ac:dyDescent="0.3">
      <c r="B25" s="57">
        <v>5.5</v>
      </c>
      <c r="C25" s="53">
        <v>161.99</v>
      </c>
      <c r="D25" s="54">
        <v>684.12</v>
      </c>
      <c r="E25" s="54">
        <v>2074.6999999999998</v>
      </c>
      <c r="F25" s="54">
        <v>2758.82</v>
      </c>
      <c r="G25" s="54">
        <f t="shared" si="0"/>
        <v>163.43048256091734</v>
      </c>
      <c r="H25" s="54">
        <f t="shared" si="1"/>
        <v>495.62828475871953</v>
      </c>
      <c r="I25" s="54">
        <f t="shared" si="2"/>
        <v>659.0587673196369</v>
      </c>
      <c r="J25" s="55">
        <v>1.1050000000000001E-3</v>
      </c>
      <c r="K25" s="56">
        <v>0.29249999999999998</v>
      </c>
      <c r="L25" s="49">
        <v>18</v>
      </c>
    </row>
    <row r="26" spans="2:12" s="49" customFormat="1" x14ac:dyDescent="0.3">
      <c r="B26" s="57">
        <v>6</v>
      </c>
      <c r="C26" s="53">
        <v>164.96</v>
      </c>
      <c r="D26" s="54">
        <v>697.06</v>
      </c>
      <c r="E26" s="54">
        <v>2064.9</v>
      </c>
      <c r="F26" s="54">
        <v>2761.96</v>
      </c>
      <c r="G26" s="54">
        <f t="shared" si="0"/>
        <v>166.52173913043478</v>
      </c>
      <c r="H26" s="54">
        <f t="shared" si="1"/>
        <v>493.28714763497373</v>
      </c>
      <c r="I26" s="54">
        <f t="shared" si="2"/>
        <v>659.80888676540849</v>
      </c>
      <c r="J26" s="55">
        <v>1.108E-3</v>
      </c>
      <c r="K26" s="56">
        <v>0.2727</v>
      </c>
      <c r="L26" s="49">
        <v>19</v>
      </c>
    </row>
    <row r="27" spans="2:12" s="49" customFormat="1" x14ac:dyDescent="0.3">
      <c r="B27" s="57">
        <v>6.5</v>
      </c>
      <c r="C27" s="53">
        <v>167.75</v>
      </c>
      <c r="D27" s="54">
        <v>709.29</v>
      </c>
      <c r="E27" s="54">
        <v>2055.5</v>
      </c>
      <c r="F27" s="54">
        <v>2764.79</v>
      </c>
      <c r="G27" s="54">
        <f t="shared" si="0"/>
        <v>169.44338270425226</v>
      </c>
      <c r="H27" s="54">
        <f t="shared" si="1"/>
        <v>491.04156712852364</v>
      </c>
      <c r="I27" s="54">
        <f t="shared" si="2"/>
        <v>660.4849498327759</v>
      </c>
      <c r="J27" s="55">
        <v>1.111E-3</v>
      </c>
      <c r="K27" s="56">
        <v>0.25519999999999998</v>
      </c>
      <c r="L27" s="49">
        <v>20</v>
      </c>
    </row>
    <row r="28" spans="2:12" s="49" customFormat="1" x14ac:dyDescent="0.3">
      <c r="B28" s="57">
        <v>7</v>
      </c>
      <c r="C28" s="53">
        <v>170.41</v>
      </c>
      <c r="D28" s="54">
        <v>720.94</v>
      </c>
      <c r="E28" s="54">
        <v>2046.5</v>
      </c>
      <c r="F28" s="54">
        <v>2767.44</v>
      </c>
      <c r="G28" s="54">
        <f t="shared" si="0"/>
        <v>172.22646918299094</v>
      </c>
      <c r="H28" s="54">
        <f t="shared" si="1"/>
        <v>488.89154323936935</v>
      </c>
      <c r="I28" s="54">
        <f t="shared" si="2"/>
        <v>661.11801242236027</v>
      </c>
      <c r="J28" s="55">
        <v>1.1150000000000001E-3</v>
      </c>
      <c r="K28" s="56">
        <v>0.24030000000000001</v>
      </c>
      <c r="L28" s="49">
        <v>21</v>
      </c>
    </row>
    <row r="29" spans="2:12" s="49" customFormat="1" x14ac:dyDescent="0.3">
      <c r="B29" s="57">
        <v>7.5</v>
      </c>
      <c r="C29" s="53">
        <v>172.94</v>
      </c>
      <c r="D29" s="54">
        <v>732.02</v>
      </c>
      <c r="E29" s="54">
        <v>2037.9</v>
      </c>
      <c r="F29" s="54">
        <v>2769.92</v>
      </c>
      <c r="G29" s="54">
        <f t="shared" si="0"/>
        <v>174.87338748208313</v>
      </c>
      <c r="H29" s="54">
        <f t="shared" si="1"/>
        <v>486.83707596751077</v>
      </c>
      <c r="I29" s="54">
        <f t="shared" si="2"/>
        <v>661.71046344959393</v>
      </c>
      <c r="J29" s="55">
        <v>1.1180000000000001E-3</v>
      </c>
      <c r="K29" s="56">
        <v>0.2268</v>
      </c>
      <c r="L29" s="49">
        <v>22</v>
      </c>
    </row>
    <row r="30" spans="2:12" s="49" customFormat="1" x14ac:dyDescent="0.3">
      <c r="B30" s="57">
        <v>8</v>
      </c>
      <c r="C30" s="53">
        <v>175.36</v>
      </c>
      <c r="D30" s="54">
        <v>742.64</v>
      </c>
      <c r="E30" s="54">
        <v>2029.5</v>
      </c>
      <c r="F30" s="54">
        <v>2772.14</v>
      </c>
      <c r="G30" s="54">
        <f t="shared" si="0"/>
        <v>177.41041567128522</v>
      </c>
      <c r="H30" s="54">
        <f t="shared" si="1"/>
        <v>484.83038700430006</v>
      </c>
      <c r="I30" s="54">
        <f t="shared" si="2"/>
        <v>662.24080267558531</v>
      </c>
      <c r="J30" s="55">
        <v>1.121E-3</v>
      </c>
      <c r="K30" s="56">
        <v>0.21479999999999999</v>
      </c>
      <c r="L30" s="49">
        <v>23</v>
      </c>
    </row>
    <row r="31" spans="2:12" s="49" customFormat="1" x14ac:dyDescent="0.3">
      <c r="B31" s="57">
        <v>8.5</v>
      </c>
      <c r="C31" s="53">
        <v>177.66</v>
      </c>
      <c r="D31" s="54">
        <v>752.81</v>
      </c>
      <c r="E31" s="54">
        <v>2020.9</v>
      </c>
      <c r="F31" s="54">
        <v>2773.71</v>
      </c>
      <c r="G31" s="54">
        <f t="shared" si="0"/>
        <v>179.8399426660296</v>
      </c>
      <c r="H31" s="54">
        <f t="shared" si="1"/>
        <v>482.77591973244148</v>
      </c>
      <c r="I31" s="54">
        <f t="shared" si="2"/>
        <v>662.61586239847111</v>
      </c>
      <c r="J31" s="55">
        <v>1.124E-3</v>
      </c>
      <c r="K31" s="56">
        <v>0.20400000000000001</v>
      </c>
      <c r="L31" s="49">
        <v>24</v>
      </c>
    </row>
    <row r="32" spans="2:12" s="49" customFormat="1" x14ac:dyDescent="0.3">
      <c r="B32" s="57">
        <v>9</v>
      </c>
      <c r="C32" s="53">
        <v>179.88</v>
      </c>
      <c r="D32" s="54">
        <v>762.61</v>
      </c>
      <c r="E32" s="54">
        <v>2013.6</v>
      </c>
      <c r="F32" s="54">
        <v>2776.21</v>
      </c>
      <c r="G32" s="54">
        <f t="shared" si="0"/>
        <v>182.18107978977545</v>
      </c>
      <c r="H32" s="54">
        <f t="shared" si="1"/>
        <v>481.03201146679407</v>
      </c>
      <c r="I32" s="54">
        <f t="shared" si="2"/>
        <v>663.21309125656956</v>
      </c>
      <c r="J32" s="55">
        <v>1.127E-3</v>
      </c>
      <c r="K32" s="56">
        <v>0.1943</v>
      </c>
      <c r="L32" s="49">
        <v>25</v>
      </c>
    </row>
    <row r="33" spans="2:12" s="49" customFormat="1" x14ac:dyDescent="0.3">
      <c r="B33" s="57">
        <v>10</v>
      </c>
      <c r="C33" s="53">
        <v>184.07</v>
      </c>
      <c r="D33" s="54">
        <v>781.13</v>
      </c>
      <c r="E33" s="54">
        <v>1998.5</v>
      </c>
      <c r="F33" s="54">
        <v>2779.63</v>
      </c>
      <c r="G33" s="54">
        <f t="shared" si="0"/>
        <v>186.60535117056855</v>
      </c>
      <c r="H33" s="54">
        <f t="shared" si="1"/>
        <v>477.4247491638796</v>
      </c>
      <c r="I33" s="54">
        <f t="shared" si="2"/>
        <v>664.03010033444821</v>
      </c>
      <c r="J33" s="55">
        <v>1.1329999999999999E-3</v>
      </c>
      <c r="K33" s="56">
        <v>0.1774</v>
      </c>
      <c r="L33" s="49">
        <v>26</v>
      </c>
    </row>
    <row r="34" spans="2:12" s="49" customFormat="1" x14ac:dyDescent="0.3">
      <c r="B34" s="57">
        <v>11</v>
      </c>
      <c r="C34" s="53">
        <v>187.96</v>
      </c>
      <c r="D34" s="54">
        <v>798.43</v>
      </c>
      <c r="E34" s="54">
        <v>1984.3</v>
      </c>
      <c r="F34" s="54">
        <v>2782.73</v>
      </c>
      <c r="G34" s="54">
        <f t="shared" si="0"/>
        <v>190.73817486860963</v>
      </c>
      <c r="H34" s="54">
        <f t="shared" si="1"/>
        <v>474.03248924988054</v>
      </c>
      <c r="I34" s="54">
        <f t="shared" si="2"/>
        <v>664.77066411849023</v>
      </c>
      <c r="J34" s="55">
        <v>1.1379999999999999E-3</v>
      </c>
      <c r="K34" s="56">
        <v>0.16320000000000001</v>
      </c>
      <c r="L34" s="49">
        <v>27</v>
      </c>
    </row>
    <row r="35" spans="2:12" s="49" customFormat="1" x14ac:dyDescent="0.3">
      <c r="B35" s="57">
        <v>12</v>
      </c>
      <c r="C35" s="53">
        <v>191.61</v>
      </c>
      <c r="D35" s="54">
        <v>814.7</v>
      </c>
      <c r="E35" s="54">
        <v>1970.7</v>
      </c>
      <c r="F35" s="54">
        <v>2785.4</v>
      </c>
      <c r="G35" s="54">
        <f t="shared" si="0"/>
        <v>194.62494027711421</v>
      </c>
      <c r="H35" s="54">
        <f t="shared" si="1"/>
        <v>470.78356426182518</v>
      </c>
      <c r="I35" s="54">
        <f t="shared" si="2"/>
        <v>665.40850453893938</v>
      </c>
      <c r="J35" s="55">
        <v>1.1429999999999999E-3</v>
      </c>
      <c r="K35" s="56">
        <v>0.15110000000000001</v>
      </c>
      <c r="L35" s="49">
        <v>28</v>
      </c>
    </row>
    <row r="36" spans="2:12" s="49" customFormat="1" x14ac:dyDescent="0.3">
      <c r="B36" s="57">
        <v>13</v>
      </c>
      <c r="C36" s="53">
        <v>195.04</v>
      </c>
      <c r="D36" s="54">
        <v>830.08</v>
      </c>
      <c r="E36" s="54">
        <v>1957.7</v>
      </c>
      <c r="F36" s="54">
        <v>2787.78</v>
      </c>
      <c r="G36" s="54">
        <f t="shared" si="0"/>
        <v>198.29909221213569</v>
      </c>
      <c r="H36" s="54">
        <f t="shared" si="1"/>
        <v>467.67797419971333</v>
      </c>
      <c r="I36" s="54">
        <f t="shared" si="2"/>
        <v>665.97706641184902</v>
      </c>
      <c r="J36" s="55">
        <v>1.1479999999999999E-3</v>
      </c>
      <c r="K36" s="56">
        <v>0.14069999999999999</v>
      </c>
      <c r="L36" s="49">
        <v>29</v>
      </c>
    </row>
    <row r="37" spans="2:12" s="49" customFormat="1" x14ac:dyDescent="0.3">
      <c r="B37" s="57">
        <v>14</v>
      </c>
      <c r="C37" s="53">
        <v>198.29</v>
      </c>
      <c r="D37" s="54">
        <v>844.67</v>
      </c>
      <c r="E37" s="54">
        <v>1945.2</v>
      </c>
      <c r="F37" s="54">
        <v>2789.87</v>
      </c>
      <c r="G37" s="54">
        <f t="shared" si="0"/>
        <v>201.78451982799808</v>
      </c>
      <c r="H37" s="54">
        <f t="shared" si="1"/>
        <v>464.69182990922121</v>
      </c>
      <c r="I37" s="54">
        <f t="shared" si="2"/>
        <v>666.47634973721927</v>
      </c>
      <c r="J37" s="55">
        <v>1.1529999999999999E-3</v>
      </c>
      <c r="K37" s="56">
        <v>0.13170000000000001</v>
      </c>
      <c r="L37" s="49">
        <v>30</v>
      </c>
    </row>
    <row r="38" spans="2:12" s="49" customFormat="1" x14ac:dyDescent="0.3">
      <c r="B38" s="57">
        <v>15</v>
      </c>
      <c r="C38" s="53">
        <v>201.37</v>
      </c>
      <c r="D38" s="54">
        <v>858.56</v>
      </c>
      <c r="E38" s="54">
        <v>1933.2</v>
      </c>
      <c r="F38" s="54">
        <v>2791.76</v>
      </c>
      <c r="G38" s="54">
        <f t="shared" si="0"/>
        <v>205.10272336359293</v>
      </c>
      <c r="H38" s="54">
        <f t="shared" si="1"/>
        <v>461.82513139034882</v>
      </c>
      <c r="I38" s="54">
        <f t="shared" si="2"/>
        <v>666.9278547539418</v>
      </c>
      <c r="J38" s="55">
        <v>1.158E-3</v>
      </c>
      <c r="K38" s="56">
        <v>0.1237</v>
      </c>
      <c r="L38" s="49">
        <v>31</v>
      </c>
    </row>
    <row r="39" spans="2:12" s="49" customFormat="1" x14ac:dyDescent="0.3">
      <c r="B39" s="57">
        <v>16</v>
      </c>
      <c r="C39" s="53">
        <v>204.31</v>
      </c>
      <c r="D39" s="54">
        <v>871.84</v>
      </c>
      <c r="E39" s="54">
        <v>1921.5</v>
      </c>
      <c r="F39" s="54">
        <v>2793.34</v>
      </c>
      <c r="G39" s="54">
        <f t="shared" ref="G39:G65" si="3">D39/4.186</f>
        <v>208.27520305781175</v>
      </c>
      <c r="H39" s="54">
        <f t="shared" ref="H39:H65" si="4">E39/4.186</f>
        <v>459.03010033444815</v>
      </c>
      <c r="I39" s="54">
        <f t="shared" ref="I39:I65" si="5">F39/4.186</f>
        <v>667.30530339225993</v>
      </c>
      <c r="J39" s="55">
        <v>1.163E-3</v>
      </c>
      <c r="K39" s="56">
        <v>0.1166</v>
      </c>
      <c r="L39" s="49">
        <v>32</v>
      </c>
    </row>
    <row r="40" spans="2:12" s="49" customFormat="1" x14ac:dyDescent="0.3">
      <c r="B40" s="57">
        <v>17</v>
      </c>
      <c r="C40" s="53">
        <v>207.11</v>
      </c>
      <c r="D40" s="54">
        <v>884.58</v>
      </c>
      <c r="E40" s="54">
        <v>1910.3</v>
      </c>
      <c r="F40" s="54">
        <v>2794.88</v>
      </c>
      <c r="G40" s="54">
        <f t="shared" si="3"/>
        <v>211.31868131868134</v>
      </c>
      <c r="H40" s="54">
        <f t="shared" si="4"/>
        <v>456.35451505016721</v>
      </c>
      <c r="I40" s="54">
        <f t="shared" si="5"/>
        <v>667.67319636884861</v>
      </c>
      <c r="J40" s="55">
        <v>1.1670000000000001E-3</v>
      </c>
      <c r="K40" s="56">
        <v>0.1103</v>
      </c>
      <c r="L40" s="49">
        <v>33</v>
      </c>
    </row>
    <row r="41" spans="2:12" s="49" customFormat="1" x14ac:dyDescent="0.3">
      <c r="B41" s="57">
        <v>18</v>
      </c>
      <c r="C41" s="53">
        <v>209.8</v>
      </c>
      <c r="D41" s="54">
        <v>896.81</v>
      </c>
      <c r="E41" s="54">
        <v>1899.3</v>
      </c>
      <c r="F41" s="54">
        <v>2796.11</v>
      </c>
      <c r="G41" s="54">
        <f t="shared" si="3"/>
        <v>214.24032489249879</v>
      </c>
      <c r="H41" s="54">
        <f t="shared" si="4"/>
        <v>453.72670807453414</v>
      </c>
      <c r="I41" s="54">
        <f t="shared" si="5"/>
        <v>667.96703296703299</v>
      </c>
      <c r="J41" s="55">
        <v>1.1720000000000001E-3</v>
      </c>
      <c r="K41" s="56">
        <v>0.1047</v>
      </c>
      <c r="L41" s="49">
        <v>34</v>
      </c>
    </row>
    <row r="42" spans="2:12" s="49" customFormat="1" x14ac:dyDescent="0.3">
      <c r="B42" s="57">
        <v>19</v>
      </c>
      <c r="C42" s="53">
        <v>212.37</v>
      </c>
      <c r="D42" s="54">
        <v>908.59</v>
      </c>
      <c r="E42" s="54">
        <v>1888.6</v>
      </c>
      <c r="F42" s="54">
        <v>2797.19</v>
      </c>
      <c r="G42" s="54">
        <f t="shared" si="3"/>
        <v>217.05446727185858</v>
      </c>
      <c r="H42" s="54">
        <f t="shared" si="4"/>
        <v>451.17056856187287</v>
      </c>
      <c r="I42" s="54">
        <f t="shared" si="5"/>
        <v>668.22503583373145</v>
      </c>
      <c r="J42" s="55">
        <v>1.176E-3</v>
      </c>
      <c r="K42" s="56">
        <v>9.9500000000000005E-2</v>
      </c>
      <c r="L42" s="49">
        <v>35</v>
      </c>
    </row>
    <row r="43" spans="2:12" s="49" customFormat="1" x14ac:dyDescent="0.3">
      <c r="B43" s="57">
        <v>20</v>
      </c>
      <c r="C43" s="53">
        <v>214.85</v>
      </c>
      <c r="D43" s="54">
        <v>919.96</v>
      </c>
      <c r="E43" s="54">
        <v>1878.2</v>
      </c>
      <c r="F43" s="54">
        <v>2798.16</v>
      </c>
      <c r="G43" s="54">
        <f t="shared" si="3"/>
        <v>219.77066411849023</v>
      </c>
      <c r="H43" s="54">
        <f t="shared" si="4"/>
        <v>448.6860965121835</v>
      </c>
      <c r="I43" s="54">
        <f t="shared" si="5"/>
        <v>668.45676063067367</v>
      </c>
      <c r="J43" s="55">
        <v>1.1800000000000001E-3</v>
      </c>
      <c r="K43" s="56">
        <v>9.4890000000000002E-2</v>
      </c>
      <c r="L43" s="49">
        <v>36</v>
      </c>
    </row>
    <row r="44" spans="2:12" s="49" customFormat="1" x14ac:dyDescent="0.3">
      <c r="B44" s="57">
        <v>21</v>
      </c>
      <c r="C44" s="53">
        <v>217.24</v>
      </c>
      <c r="D44" s="54">
        <v>930.95</v>
      </c>
      <c r="E44" s="54">
        <v>1868.1</v>
      </c>
      <c r="F44" s="54">
        <v>2799.05</v>
      </c>
      <c r="G44" s="54">
        <f t="shared" si="3"/>
        <v>222.39608217869088</v>
      </c>
      <c r="H44" s="54">
        <f t="shared" si="4"/>
        <v>446.2732919254658</v>
      </c>
      <c r="I44" s="54">
        <f t="shared" si="5"/>
        <v>668.66937410415676</v>
      </c>
      <c r="J44" s="55">
        <v>1.1850000000000001E-3</v>
      </c>
      <c r="K44" s="56">
        <v>9.0650000000000008E-2</v>
      </c>
      <c r="L44" s="49">
        <v>37</v>
      </c>
    </row>
    <row r="45" spans="2:12" s="49" customFormat="1" x14ac:dyDescent="0.3">
      <c r="B45" s="57">
        <v>22</v>
      </c>
      <c r="C45" s="53">
        <v>219.55</v>
      </c>
      <c r="D45" s="54">
        <v>941.6</v>
      </c>
      <c r="E45" s="54">
        <v>1858.2</v>
      </c>
      <c r="F45" s="54">
        <v>2799.8</v>
      </c>
      <c r="G45" s="54">
        <f t="shared" si="3"/>
        <v>224.94027711419017</v>
      </c>
      <c r="H45" s="54">
        <f t="shared" si="4"/>
        <v>443.90826564739609</v>
      </c>
      <c r="I45" s="54">
        <f t="shared" si="5"/>
        <v>668.84854276158626</v>
      </c>
      <c r="J45" s="55">
        <v>1.189E-3</v>
      </c>
      <c r="K45" s="56">
        <v>8.677E-2</v>
      </c>
      <c r="L45" s="49">
        <v>38</v>
      </c>
    </row>
    <row r="46" spans="2:12" s="49" customFormat="1" x14ac:dyDescent="0.3">
      <c r="B46" s="57">
        <v>23</v>
      </c>
      <c r="C46" s="53">
        <v>221.78</v>
      </c>
      <c r="D46" s="54">
        <v>951.93</v>
      </c>
      <c r="E46" s="54">
        <v>1848.5</v>
      </c>
      <c r="F46" s="54">
        <v>2800.43</v>
      </c>
      <c r="G46" s="54">
        <f t="shared" si="3"/>
        <v>227.40802675585283</v>
      </c>
      <c r="H46" s="54">
        <f t="shared" si="4"/>
        <v>441.59101767797421</v>
      </c>
      <c r="I46" s="54">
        <f t="shared" si="5"/>
        <v>668.99904443382707</v>
      </c>
      <c r="J46" s="55">
        <v>1.193E-3</v>
      </c>
      <c r="K46" s="56">
        <v>8.320000000000001E-2</v>
      </c>
      <c r="L46" s="49">
        <v>39</v>
      </c>
    </row>
    <row r="47" spans="2:12" s="49" customFormat="1" x14ac:dyDescent="0.3">
      <c r="B47" s="57">
        <v>24</v>
      </c>
      <c r="C47" s="53">
        <v>223.94</v>
      </c>
      <c r="D47" s="54">
        <v>961.96</v>
      </c>
      <c r="E47" s="54">
        <v>1839</v>
      </c>
      <c r="F47" s="54">
        <v>2800.96</v>
      </c>
      <c r="G47" s="54">
        <f t="shared" si="3"/>
        <v>229.80410893454373</v>
      </c>
      <c r="H47" s="54">
        <f t="shared" si="4"/>
        <v>439.3215480172002</v>
      </c>
      <c r="I47" s="54">
        <f t="shared" si="5"/>
        <v>669.12565695174396</v>
      </c>
      <c r="J47" s="55">
        <v>1.1969999999999999E-3</v>
      </c>
      <c r="K47" s="56">
        <v>7.9909999999999995E-2</v>
      </c>
      <c r="L47" s="49">
        <v>40</v>
      </c>
    </row>
    <row r="48" spans="2:12" s="49" customFormat="1" x14ac:dyDescent="0.3">
      <c r="B48" s="57">
        <v>25</v>
      </c>
      <c r="C48" s="53">
        <v>226.04</v>
      </c>
      <c r="D48" s="54">
        <v>971.72</v>
      </c>
      <c r="E48" s="54">
        <v>1829.6</v>
      </c>
      <c r="F48" s="54">
        <v>2801.32</v>
      </c>
      <c r="G48" s="54">
        <f t="shared" si="3"/>
        <v>232.13569039655997</v>
      </c>
      <c r="H48" s="54">
        <f t="shared" si="4"/>
        <v>437.0759675107501</v>
      </c>
      <c r="I48" s="54">
        <f t="shared" si="5"/>
        <v>669.21165790731015</v>
      </c>
      <c r="J48" s="55">
        <v>1.201E-3</v>
      </c>
      <c r="K48" s="56">
        <v>7.6859999999999998E-2</v>
      </c>
      <c r="L48" s="49">
        <v>41</v>
      </c>
    </row>
    <row r="49" spans="2:15" s="49" customFormat="1" x14ac:dyDescent="0.3">
      <c r="B49" s="57">
        <v>26</v>
      </c>
      <c r="C49" s="53">
        <v>228.07</v>
      </c>
      <c r="D49" s="54">
        <v>981.22</v>
      </c>
      <c r="E49" s="54">
        <v>1820.5</v>
      </c>
      <c r="F49" s="54">
        <v>2801.72</v>
      </c>
      <c r="G49" s="54">
        <f t="shared" si="3"/>
        <v>234.40516005733397</v>
      </c>
      <c r="H49" s="54">
        <f t="shared" si="4"/>
        <v>434.90205446727185</v>
      </c>
      <c r="I49" s="54">
        <f t="shared" si="5"/>
        <v>669.3072145246058</v>
      </c>
      <c r="J49" s="55">
        <v>1.2049999999999999E-3</v>
      </c>
      <c r="K49" s="56">
        <v>7.4020000000000002E-2</v>
      </c>
      <c r="L49" s="49">
        <v>42</v>
      </c>
    </row>
    <row r="50" spans="2:15" s="49" customFormat="1" x14ac:dyDescent="0.3">
      <c r="B50" s="57">
        <v>27</v>
      </c>
      <c r="C50" s="53">
        <v>230.05</v>
      </c>
      <c r="D50" s="54">
        <v>990.48</v>
      </c>
      <c r="E50" s="54">
        <v>1811.5</v>
      </c>
      <c r="F50" s="54">
        <v>2801.98</v>
      </c>
      <c r="G50" s="54">
        <f t="shared" si="3"/>
        <v>236.61729574773054</v>
      </c>
      <c r="H50" s="54">
        <f t="shared" si="4"/>
        <v>432.75203057811751</v>
      </c>
      <c r="I50" s="54">
        <f t="shared" si="5"/>
        <v>669.36932632584808</v>
      </c>
      <c r="J50" s="55">
        <v>1.2080000000000001E-3</v>
      </c>
      <c r="K50" s="56">
        <v>7.1389999999999995E-2</v>
      </c>
      <c r="L50" s="49">
        <v>43</v>
      </c>
    </row>
    <row r="51" spans="2:15" s="49" customFormat="1" x14ac:dyDescent="0.3">
      <c r="B51" s="57">
        <v>28</v>
      </c>
      <c r="C51" s="53">
        <v>231.97</v>
      </c>
      <c r="D51" s="54">
        <v>999.53</v>
      </c>
      <c r="E51" s="54">
        <v>1802.6</v>
      </c>
      <c r="F51" s="54">
        <v>2802.13</v>
      </c>
      <c r="G51" s="54">
        <f t="shared" si="3"/>
        <v>238.77926421404683</v>
      </c>
      <c r="H51" s="54">
        <f t="shared" si="4"/>
        <v>430.62589584328714</v>
      </c>
      <c r="I51" s="54">
        <f t="shared" si="5"/>
        <v>669.405160057334</v>
      </c>
      <c r="J51" s="55">
        <v>1.212E-3</v>
      </c>
      <c r="K51" s="56">
        <v>6.8930000000000005E-2</v>
      </c>
      <c r="L51" s="49">
        <v>44</v>
      </c>
    </row>
    <row r="52" spans="2:15" s="49" customFormat="1" x14ac:dyDescent="0.3">
      <c r="B52" s="57">
        <v>29</v>
      </c>
      <c r="C52" s="53">
        <v>233.84</v>
      </c>
      <c r="D52" s="54">
        <v>1008.4</v>
      </c>
      <c r="E52" s="54">
        <v>1793.9</v>
      </c>
      <c r="F52" s="54">
        <v>2802.3</v>
      </c>
      <c r="G52" s="54">
        <f t="shared" si="3"/>
        <v>240.89823220258003</v>
      </c>
      <c r="H52" s="54">
        <f t="shared" si="4"/>
        <v>428.54753941710464</v>
      </c>
      <c r="I52" s="54">
        <f t="shared" si="5"/>
        <v>669.44577161968471</v>
      </c>
      <c r="J52" s="55">
        <v>1.2160000000000001E-3</v>
      </c>
      <c r="K52" s="56">
        <v>6.6629999999999995E-2</v>
      </c>
      <c r="L52" s="49">
        <v>45</v>
      </c>
    </row>
    <row r="53" spans="2:15" s="49" customFormat="1" x14ac:dyDescent="0.3">
      <c r="B53" s="57">
        <v>31</v>
      </c>
      <c r="C53" s="53">
        <v>237.45</v>
      </c>
      <c r="D53" s="54">
        <v>1025.4000000000001</v>
      </c>
      <c r="E53" s="54">
        <v>1776.9</v>
      </c>
      <c r="F53" s="54">
        <v>2802.3</v>
      </c>
      <c r="G53" s="54">
        <f t="shared" si="3"/>
        <v>244.95938843764932</v>
      </c>
      <c r="H53" s="54">
        <f t="shared" si="4"/>
        <v>424.48638318203541</v>
      </c>
      <c r="I53" s="54">
        <f t="shared" si="5"/>
        <v>669.44577161968471</v>
      </c>
      <c r="J53" s="55">
        <v>1.2229999999999999E-3</v>
      </c>
      <c r="K53" s="56">
        <v>6.2440000000000002E-2</v>
      </c>
      <c r="L53" s="49">
        <v>46</v>
      </c>
    </row>
    <row r="54" spans="2:15" s="49" customFormat="1" x14ac:dyDescent="0.3">
      <c r="B54" s="57">
        <v>33</v>
      </c>
      <c r="C54" s="53">
        <v>240.88</v>
      </c>
      <c r="D54" s="54">
        <v>1041.8</v>
      </c>
      <c r="E54" s="54">
        <v>1760.3</v>
      </c>
      <c r="F54" s="54">
        <v>2802.1</v>
      </c>
      <c r="G54" s="54">
        <f t="shared" si="3"/>
        <v>248.87720974677495</v>
      </c>
      <c r="H54" s="54">
        <f t="shared" si="4"/>
        <v>420.52078356426182</v>
      </c>
      <c r="I54" s="54">
        <f t="shared" si="5"/>
        <v>669.39799331103677</v>
      </c>
      <c r="J54" s="55">
        <v>1.2310000000000001E-3</v>
      </c>
      <c r="K54" s="56">
        <v>5.8729999999999997E-2</v>
      </c>
      <c r="L54" s="49">
        <v>47</v>
      </c>
    </row>
    <row r="55" spans="2:15" s="49" customFormat="1" x14ac:dyDescent="0.3">
      <c r="B55" s="57">
        <v>35</v>
      </c>
      <c r="C55" s="53">
        <v>244.16</v>
      </c>
      <c r="D55" s="54">
        <v>1057.5999999999999</v>
      </c>
      <c r="E55" s="54">
        <v>1744.1</v>
      </c>
      <c r="F55" s="54">
        <v>2801.7</v>
      </c>
      <c r="G55" s="54">
        <f t="shared" si="3"/>
        <v>252.65169612995697</v>
      </c>
      <c r="H55" s="54">
        <f t="shared" si="4"/>
        <v>416.65074056378404</v>
      </c>
      <c r="I55" s="54">
        <f t="shared" si="5"/>
        <v>669.30243669374102</v>
      </c>
      <c r="J55" s="55">
        <v>1.238E-3</v>
      </c>
      <c r="K55" s="56">
        <v>5.5410000000000001E-2</v>
      </c>
      <c r="L55" s="49">
        <v>48</v>
      </c>
      <c r="M55" s="55"/>
      <c r="O55" s="56"/>
    </row>
    <row r="56" spans="2:15" s="49" customFormat="1" x14ac:dyDescent="0.3">
      <c r="B56" s="57">
        <v>37</v>
      </c>
      <c r="C56" s="53">
        <v>247.31</v>
      </c>
      <c r="D56" s="54">
        <v>1072.7</v>
      </c>
      <c r="E56" s="54">
        <v>1728.4</v>
      </c>
      <c r="F56" s="54">
        <v>2801.1</v>
      </c>
      <c r="G56" s="54">
        <f t="shared" si="3"/>
        <v>256.25895843287151</v>
      </c>
      <c r="H56" s="54">
        <f t="shared" si="4"/>
        <v>412.90014333492599</v>
      </c>
      <c r="I56" s="54">
        <f t="shared" si="5"/>
        <v>669.15910176779744</v>
      </c>
      <c r="J56" s="55">
        <v>1.245E-3</v>
      </c>
      <c r="K56" s="56">
        <v>5.2440000000000001E-2</v>
      </c>
      <c r="L56" s="49">
        <v>49</v>
      </c>
      <c r="M56" s="55"/>
      <c r="O56" s="56"/>
    </row>
    <row r="57" spans="2:15" s="49" customFormat="1" x14ac:dyDescent="0.3">
      <c r="B57" s="57">
        <v>39</v>
      </c>
      <c r="C57" s="53">
        <v>250.33</v>
      </c>
      <c r="D57" s="54">
        <v>1087.4000000000001</v>
      </c>
      <c r="E57" s="54">
        <v>1712.9</v>
      </c>
      <c r="F57" s="54">
        <v>2800.3</v>
      </c>
      <c r="G57" s="54">
        <f t="shared" si="3"/>
        <v>259.77066411849023</v>
      </c>
      <c r="H57" s="54">
        <f t="shared" si="4"/>
        <v>409.19732441471575</v>
      </c>
      <c r="I57" s="54">
        <f t="shared" si="5"/>
        <v>668.96798853320593</v>
      </c>
      <c r="J57" s="55">
        <v>1.2520000000000001E-3</v>
      </c>
      <c r="K57" s="56">
        <v>4.9750000000000003E-2</v>
      </c>
      <c r="L57" s="49">
        <v>50</v>
      </c>
      <c r="M57" s="55"/>
      <c r="O57" s="56"/>
    </row>
    <row r="58" spans="2:15" s="49" customFormat="1" x14ac:dyDescent="0.3">
      <c r="B58" s="57">
        <v>41</v>
      </c>
      <c r="C58" s="53">
        <v>253.24</v>
      </c>
      <c r="D58" s="54">
        <v>1101.5999999999999</v>
      </c>
      <c r="E58" s="54">
        <v>1697.8</v>
      </c>
      <c r="F58" s="54">
        <v>2799.4</v>
      </c>
      <c r="G58" s="54">
        <f t="shared" si="3"/>
        <v>263.16292403248923</v>
      </c>
      <c r="H58" s="54">
        <f t="shared" si="4"/>
        <v>405.59006211180122</v>
      </c>
      <c r="I58" s="54">
        <f t="shared" si="5"/>
        <v>668.7529861442905</v>
      </c>
      <c r="J58" s="55">
        <v>1.258E-3</v>
      </c>
      <c r="K58" s="56">
        <v>4.7309999999999998E-2</v>
      </c>
      <c r="L58" s="49">
        <v>51</v>
      </c>
      <c r="M58" s="55"/>
      <c r="O58" s="56"/>
    </row>
    <row r="59" spans="2:15" s="49" customFormat="1" x14ac:dyDescent="0.3">
      <c r="B59" s="57">
        <v>43</v>
      </c>
      <c r="C59" s="53">
        <v>256.05</v>
      </c>
      <c r="D59" s="54">
        <v>1115.4000000000001</v>
      </c>
      <c r="E59" s="54">
        <v>1682.9</v>
      </c>
      <c r="F59" s="54">
        <v>2798.3</v>
      </c>
      <c r="G59" s="54">
        <f t="shared" si="3"/>
        <v>266.45962732919259</v>
      </c>
      <c r="H59" s="54">
        <f t="shared" si="4"/>
        <v>402.03057811753467</v>
      </c>
      <c r="I59" s="54">
        <f t="shared" si="5"/>
        <v>668.49020544672726</v>
      </c>
      <c r="J59" s="55">
        <v>1.2650000000000001E-3</v>
      </c>
      <c r="K59" s="56">
        <v>4.5080000000000002E-2</v>
      </c>
      <c r="L59" s="49">
        <v>52</v>
      </c>
      <c r="M59" s="55"/>
      <c r="O59" s="56"/>
    </row>
    <row r="60" spans="2:15" s="49" customFormat="1" x14ac:dyDescent="0.3">
      <c r="B60" s="57">
        <v>45</v>
      </c>
      <c r="C60" s="53">
        <v>258.75</v>
      </c>
      <c r="D60" s="54">
        <v>1128.8</v>
      </c>
      <c r="E60" s="54">
        <v>1668.2</v>
      </c>
      <c r="F60" s="54">
        <v>2797</v>
      </c>
      <c r="G60" s="54">
        <f t="shared" si="3"/>
        <v>269.66077400860007</v>
      </c>
      <c r="H60" s="54">
        <f t="shared" si="4"/>
        <v>398.51887243191595</v>
      </c>
      <c r="I60" s="54">
        <f t="shared" si="5"/>
        <v>668.17964644051597</v>
      </c>
      <c r="J60" s="55">
        <v>1.2719999999999999E-3</v>
      </c>
      <c r="K60" s="56">
        <v>4.3040000000000002E-2</v>
      </c>
      <c r="L60" s="49">
        <v>53</v>
      </c>
      <c r="M60" s="55"/>
      <c r="O60" s="56"/>
    </row>
    <row r="61" spans="2:15" s="49" customFormat="1" x14ac:dyDescent="0.3">
      <c r="B61" s="57">
        <v>47</v>
      </c>
      <c r="C61" s="53">
        <v>261.37</v>
      </c>
      <c r="D61" s="54">
        <v>1141.8</v>
      </c>
      <c r="E61" s="54">
        <v>1653.9</v>
      </c>
      <c r="F61" s="54">
        <v>2795.7</v>
      </c>
      <c r="G61" s="54">
        <f t="shared" si="3"/>
        <v>272.76636407071192</v>
      </c>
      <c r="H61" s="54">
        <f t="shared" si="4"/>
        <v>395.10272336359293</v>
      </c>
      <c r="I61" s="54">
        <f t="shared" si="5"/>
        <v>667.86908743430479</v>
      </c>
      <c r="J61" s="55">
        <v>1.279E-3</v>
      </c>
      <c r="K61" s="56">
        <v>4.1160000000000002E-2</v>
      </c>
      <c r="L61" s="49">
        <v>54</v>
      </c>
      <c r="M61" s="55"/>
      <c r="O61" s="56"/>
    </row>
    <row r="62" spans="2:15" s="49" customFormat="1" x14ac:dyDescent="0.3">
      <c r="B62" s="57">
        <v>49</v>
      </c>
      <c r="C62" s="53">
        <v>263.19</v>
      </c>
      <c r="D62" s="54">
        <v>1154.5</v>
      </c>
      <c r="E62" s="54">
        <v>1639.7</v>
      </c>
      <c r="F62" s="54">
        <v>2794.2</v>
      </c>
      <c r="G62" s="54">
        <f t="shared" si="3"/>
        <v>275.80028666985191</v>
      </c>
      <c r="H62" s="54">
        <f t="shared" si="4"/>
        <v>391.71046344959387</v>
      </c>
      <c r="I62" s="54">
        <f t="shared" si="5"/>
        <v>667.51075011944579</v>
      </c>
      <c r="J62" s="55">
        <v>1.286E-3</v>
      </c>
      <c r="K62" s="56">
        <v>3.943E-2</v>
      </c>
      <c r="L62" s="49">
        <v>55</v>
      </c>
      <c r="M62" s="55"/>
      <c r="O62" s="56"/>
    </row>
    <row r="63" spans="2:15" s="49" customFormat="1" x14ac:dyDescent="0.3">
      <c r="B63" s="57">
        <v>54</v>
      </c>
      <c r="C63" s="53">
        <v>269.93</v>
      </c>
      <c r="D63" s="54">
        <v>1184.9000000000001</v>
      </c>
      <c r="E63" s="54">
        <v>1605</v>
      </c>
      <c r="F63" s="54">
        <v>2789.9</v>
      </c>
      <c r="G63" s="54">
        <f t="shared" si="3"/>
        <v>283.06258958432875</v>
      </c>
      <c r="H63" s="54">
        <f t="shared" si="4"/>
        <v>383.42092689918775</v>
      </c>
      <c r="I63" s="54">
        <f t="shared" si="5"/>
        <v>666.4835164835165</v>
      </c>
      <c r="J63" s="55">
        <v>1.302E-3</v>
      </c>
      <c r="K63" s="56">
        <v>3.5630000000000002E-2</v>
      </c>
      <c r="L63" s="49">
        <v>56</v>
      </c>
      <c r="M63" s="55"/>
      <c r="O63" s="56"/>
    </row>
    <row r="64" spans="2:15" s="49" customFormat="1" x14ac:dyDescent="0.3">
      <c r="B64" s="57">
        <v>59</v>
      </c>
      <c r="C64" s="53">
        <v>275.55</v>
      </c>
      <c r="D64" s="54">
        <v>1213.7</v>
      </c>
      <c r="E64" s="54">
        <v>1571.3</v>
      </c>
      <c r="F64" s="54">
        <v>2785</v>
      </c>
      <c r="G64" s="54">
        <f t="shared" si="3"/>
        <v>289.94266602962256</v>
      </c>
      <c r="H64" s="54">
        <f t="shared" si="4"/>
        <v>375.37028189202101</v>
      </c>
      <c r="I64" s="54">
        <f t="shared" si="5"/>
        <v>665.31294792164363</v>
      </c>
      <c r="J64" s="55">
        <v>1.3190000000000001E-3</v>
      </c>
      <c r="K64" s="56">
        <v>3.2439999999999997E-2</v>
      </c>
      <c r="L64" s="49">
        <v>57</v>
      </c>
      <c r="M64" s="55"/>
      <c r="O64" s="56"/>
    </row>
    <row r="65" spans="2:15" s="49" customFormat="1" x14ac:dyDescent="0.3">
      <c r="B65" s="57">
        <v>64</v>
      </c>
      <c r="C65" s="53">
        <v>280.82</v>
      </c>
      <c r="D65" s="54">
        <v>1241.0999999999999</v>
      </c>
      <c r="E65" s="54">
        <v>1538.4</v>
      </c>
      <c r="F65" s="54">
        <v>2779.5</v>
      </c>
      <c r="G65" s="54">
        <f t="shared" si="3"/>
        <v>296.48829431438128</v>
      </c>
      <c r="H65" s="54">
        <f t="shared" si="4"/>
        <v>367.51075011944579</v>
      </c>
      <c r="I65" s="54">
        <f t="shared" si="5"/>
        <v>663.99904443382707</v>
      </c>
      <c r="J65" s="55">
        <v>1.335E-3</v>
      </c>
      <c r="K65" s="56">
        <v>2.972E-2</v>
      </c>
      <c r="L65" s="49">
        <v>58</v>
      </c>
      <c r="M65" s="55"/>
      <c r="O65" s="56"/>
    </row>
    <row r="66" spans="2:15" s="49" customFormat="1" x14ac:dyDescent="0.3">
      <c r="B66" s="57"/>
    </row>
    <row r="67" spans="2:15" x14ac:dyDescent="0.3">
      <c r="B67" s="58"/>
    </row>
    <row r="68" spans="2:15" x14ac:dyDescent="0.3">
      <c r="B68" s="58"/>
    </row>
    <row r="69" spans="2:15" x14ac:dyDescent="0.3">
      <c r="B69" s="58"/>
    </row>
    <row r="70" spans="2:15" x14ac:dyDescent="0.3">
      <c r="B70" s="58"/>
    </row>
    <row r="71" spans="2:15" x14ac:dyDescent="0.3">
      <c r="B71" s="58"/>
      <c r="C71" s="60"/>
      <c r="E71" s="53"/>
      <c r="G71" s="54"/>
      <c r="I71" s="54"/>
      <c r="J71" s="54"/>
      <c r="K71" s="54"/>
      <c r="M71" s="55"/>
      <c r="O71" s="56"/>
    </row>
    <row r="72" spans="2:15" x14ac:dyDescent="0.3">
      <c r="B72" s="58"/>
      <c r="C72" s="60"/>
      <c r="E72" s="53"/>
      <c r="G72" s="54"/>
      <c r="I72" s="54"/>
      <c r="J72" s="54"/>
      <c r="K72" s="54"/>
      <c r="M72" s="55"/>
      <c r="O72" s="56"/>
    </row>
    <row r="73" spans="2:15" x14ac:dyDescent="0.3">
      <c r="B73" s="58"/>
    </row>
    <row r="74" spans="2:15" x14ac:dyDescent="0.3">
      <c r="B74" s="58"/>
      <c r="C74" s="60"/>
      <c r="E74" s="53"/>
      <c r="G74" s="54"/>
      <c r="I74" s="54"/>
      <c r="J74" s="54"/>
      <c r="K74" s="54"/>
      <c r="M74" s="55"/>
      <c r="O74" s="56"/>
    </row>
    <row r="75" spans="2:15" x14ac:dyDescent="0.3">
      <c r="B75" s="58"/>
    </row>
    <row r="76" spans="2:15" x14ac:dyDescent="0.3">
      <c r="B76" s="58"/>
    </row>
    <row r="77" spans="2:15" x14ac:dyDescent="0.3">
      <c r="B77" s="58"/>
    </row>
    <row r="78" spans="2:15" x14ac:dyDescent="0.3">
      <c r="B78" s="58"/>
    </row>
    <row r="79" spans="2:15" x14ac:dyDescent="0.3">
      <c r="B79" s="58"/>
    </row>
    <row r="80" spans="2:15" x14ac:dyDescent="0.3">
      <c r="B80" s="58"/>
    </row>
    <row r="81" spans="2:2" x14ac:dyDescent="0.3">
      <c r="B81" s="58"/>
    </row>
    <row r="82" spans="2:2" x14ac:dyDescent="0.3">
      <c r="B82" s="58"/>
    </row>
    <row r="83" spans="2:2" x14ac:dyDescent="0.3">
      <c r="B83" s="58"/>
    </row>
    <row r="84" spans="2:2" x14ac:dyDescent="0.3">
      <c r="B84" s="58"/>
    </row>
    <row r="85" spans="2:2" x14ac:dyDescent="0.3">
      <c r="B85" s="58"/>
    </row>
    <row r="86" spans="2:2" x14ac:dyDescent="0.3">
      <c r="B86" s="58"/>
    </row>
    <row r="87" spans="2:2" x14ac:dyDescent="0.3">
      <c r="B87" s="58"/>
    </row>
    <row r="88" spans="2:2" x14ac:dyDescent="0.3">
      <c r="B88" s="58"/>
    </row>
    <row r="89" spans="2:2" x14ac:dyDescent="0.3">
      <c r="B89" s="58"/>
    </row>
    <row r="90" spans="2:2" x14ac:dyDescent="0.3">
      <c r="B90" s="58"/>
    </row>
    <row r="91" spans="2:2" x14ac:dyDescent="0.3">
      <c r="B91" s="58"/>
    </row>
    <row r="92" spans="2:2" x14ac:dyDescent="0.3">
      <c r="B92" s="58"/>
    </row>
    <row r="93" spans="2:2" x14ac:dyDescent="0.3">
      <c r="B93" s="58"/>
    </row>
    <row r="94" spans="2:2" x14ac:dyDescent="0.3">
      <c r="B94" s="58"/>
    </row>
    <row r="95" spans="2:2" x14ac:dyDescent="0.3">
      <c r="B95" s="58"/>
    </row>
    <row r="96" spans="2:2" x14ac:dyDescent="0.3">
      <c r="B96" s="58"/>
    </row>
    <row r="97" spans="2:2" x14ac:dyDescent="0.3">
      <c r="B97" s="58"/>
    </row>
    <row r="98" spans="2:2" x14ac:dyDescent="0.3">
      <c r="B98" s="58"/>
    </row>
  </sheetData>
  <mergeCells count="2">
    <mergeCell ref="J3:K3"/>
    <mergeCell ref="B1:K1"/>
  </mergeCells>
  <phoneticPr fontId="3" type="noConversion"/>
  <printOptions gridLinesSet="0"/>
  <pageMargins left="0.74803149606299213" right="0.74803149606299213" top="0.98425196850393704" bottom="0.98425196850393704" header="0.51181102362204722" footer="0.51181102362204722"/>
  <pageSetup paperSize="9" scale="56" orientation="portrait" horizontalDpi="300" verticalDpi="300" r:id="rId1"/>
  <headerFooter alignWithMargins="0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66446-9c70-47c7-a2bb-154ab22ebed0">
      <Terms xmlns="http://schemas.microsoft.com/office/infopath/2007/PartnerControls"/>
    </lcf76f155ced4ddcb4097134ff3c332f>
    <TaxCatchAll xmlns="bcf4d2a6-54d9-4d78-9cf4-ddce68d312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900E718DEFB48BF7C4FCAB1EA7FDF" ma:contentTypeVersion="10" ma:contentTypeDescription="Een nieuw document maken." ma:contentTypeScope="" ma:versionID="e757b1fec4a36104791972679a4cf2cb">
  <xsd:schema xmlns:xsd="http://www.w3.org/2001/XMLSchema" xmlns:xs="http://www.w3.org/2001/XMLSchema" xmlns:p="http://schemas.microsoft.com/office/2006/metadata/properties" xmlns:ns2="30566446-9c70-47c7-a2bb-154ab22ebed0" xmlns:ns3="bcf4d2a6-54d9-4d78-9cf4-ddce68d31232" targetNamespace="http://schemas.microsoft.com/office/2006/metadata/properties" ma:root="true" ma:fieldsID="c89c80e77f499aa4a86f638df4f8361f" ns2:_="" ns3:_="">
    <xsd:import namespace="30566446-9c70-47c7-a2bb-154ab22ebed0"/>
    <xsd:import namespace="bcf4d2a6-54d9-4d78-9cf4-ddce68d31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66446-9c70-47c7-a2bb-154ab22eb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95e8d55-947c-4e0e-8521-5e4066d204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4d2a6-54d9-4d78-9cf4-ddce68d312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f8fd16-fd73-4968-8b25-2d6cc4925ff9}" ma:internalName="TaxCatchAll" ma:showField="CatchAllData" ma:web="bcf4d2a6-54d9-4d78-9cf4-ddce68d31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0BCB4-6EDD-48C0-8FDE-06080C5EF0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5DD18-D4AF-47DA-BA7D-5FC707399323}">
  <ds:schemaRefs>
    <ds:schemaRef ds:uri="http://schemas.microsoft.com/office/2006/metadata/properties"/>
    <ds:schemaRef ds:uri="http://schemas.microsoft.com/office/infopath/2007/PartnerControls"/>
    <ds:schemaRef ds:uri="95bbc5d9-8e18-410d-bfdb-d899033a7242"/>
    <ds:schemaRef ds:uri="a1411e1c-f9dc-4479-ae87-ef172487649f"/>
    <ds:schemaRef ds:uri="30566446-9c70-47c7-a2bb-154ab22ebed0"/>
    <ds:schemaRef ds:uri="bcf4d2a6-54d9-4d78-9cf4-ddce68d31232"/>
  </ds:schemaRefs>
</ds:datastoreItem>
</file>

<file path=customXml/itemProps3.xml><?xml version="1.0" encoding="utf-8"?>
<ds:datastoreItem xmlns:ds="http://schemas.openxmlformats.org/officeDocument/2006/customXml" ds:itemID="{07584A88-AE4E-4430-9E12-F9E51B90B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66446-9c70-47c7-a2bb-154ab22ebed0"/>
    <ds:schemaRef ds:uri="bcf4d2a6-54d9-4d78-9cf4-ddce68d31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5</vt:i4>
      </vt:variant>
    </vt:vector>
  </HeadingPairs>
  <TitlesOfParts>
    <vt:vector size="7" baseType="lpstr">
      <vt:lpstr>Indea - kostprijs 1 ton stoom</vt:lpstr>
      <vt:lpstr>stoomtabel</vt:lpstr>
      <vt:lpstr>'Indea - kostprijs 1 ton stoom'!Afdrukbereik</vt:lpstr>
      <vt:lpstr>stoomtabel!Afdrukbereik</vt:lpstr>
      <vt:lpstr>'Indea - kostprijs 1 ton stoom'!Afdrukbereik_MI</vt:lpstr>
      <vt:lpstr>stoomtabel!Afdruktitels</vt:lpstr>
      <vt:lpstr>stoomtabel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Valérie de Groote (Indea)</cp:lastModifiedBy>
  <cp:lastPrinted>2022-10-06T08:43:27Z</cp:lastPrinted>
  <dcterms:created xsi:type="dcterms:W3CDTF">2009-05-17T14:25:32Z</dcterms:created>
  <dcterms:modified xsi:type="dcterms:W3CDTF">2022-10-06T08:44:01Z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ContentTypeId">
    <vt:lpwstr>0x010100F54900E718DEFB48BF7C4FCAB1EA7FDF</vt:lpwstr>
  </property>
  <property fmtid="{D5CDD505-2E9C-101B-9397-08002B2CF9AE}" pid="8" name="MediaServiceImageTags">
    <vt:lpwstr/>
  </property>
</Properties>
</file>